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8904" activeTab="1"/>
  </bookViews>
  <sheets>
    <sheet name="要項" sheetId="1" r:id="rId1"/>
    <sheet name="リーグ記録用" sheetId="2" r:id="rId2"/>
    <sheet name="時間表" sheetId="3" r:id="rId3"/>
  </sheets>
  <definedNames>
    <definedName name="_xlnm.Print_Area" localSheetId="2">'時間表'!$A$1:$AP$30</definedName>
  </definedNames>
  <calcPr fullCalcOnLoad="1"/>
</workbook>
</file>

<file path=xl/sharedStrings.xml><?xml version="1.0" encoding="utf-8"?>
<sst xmlns="http://schemas.openxmlformats.org/spreadsheetml/2006/main" count="259" uniqueCount="144">
  <si>
    <t>Ａ組</t>
  </si>
  <si>
    <t>勝</t>
  </si>
  <si>
    <t>分</t>
  </si>
  <si>
    <t>得失</t>
  </si>
  <si>
    <t>勝点</t>
  </si>
  <si>
    <t>順位</t>
  </si>
  <si>
    <t>Ｂ組</t>
  </si>
  <si>
    <t>Ｃ組</t>
  </si>
  <si>
    <t>Ｄ組</t>
  </si>
  <si>
    <t>-</t>
  </si>
  <si>
    <t>得点</t>
  </si>
  <si>
    <t>勝点の順位</t>
  </si>
  <si>
    <t>差の順位</t>
  </si>
  <si>
    <t>得点の順位</t>
  </si>
  <si>
    <t>合計</t>
  </si>
  <si>
    <t>負</t>
  </si>
  <si>
    <t>第１位</t>
  </si>
  <si>
    <t>第２位</t>
  </si>
  <si>
    <t>第３位</t>
  </si>
  <si>
    <t>第４位</t>
  </si>
  <si>
    <t>＜リーグ戦時間表＞</t>
  </si>
  <si>
    <t>時間</t>
  </si>
  <si>
    <t>組み合わせ</t>
  </si>
  <si>
    <t>組</t>
  </si>
  <si>
    <t>予選リーグ順位一覧表</t>
  </si>
  <si>
    <t>１・</t>
  </si>
  <si>
    <t>２・</t>
  </si>
  <si>
    <t>主催</t>
  </si>
  <si>
    <t>３・</t>
  </si>
  <si>
    <t>４・</t>
  </si>
  <si>
    <t>５・</t>
  </si>
  <si>
    <t>６・</t>
  </si>
  <si>
    <t>大会日程</t>
  </si>
  <si>
    <t>会場</t>
  </si>
  <si>
    <t>大会規定</t>
  </si>
  <si>
    <t>審判</t>
  </si>
  <si>
    <t>傷害</t>
  </si>
  <si>
    <t>大会中の事故、傷害については応急処置以外の処置は、</t>
  </si>
  <si>
    <t>主催者では行いません。</t>
  </si>
  <si>
    <t>廃止します。</t>
  </si>
  <si>
    <t>③</t>
  </si>
  <si>
    <t>試合終了後の相手チームベンチへの挨拶は、時間短縮のため</t>
  </si>
  <si>
    <t>＜　大　会　要　項　＞</t>
  </si>
  <si>
    <t>決勝トーナメントで同点の場合は、ＰＫ方式により勝者を決定する。</t>
  </si>
  <si>
    <t>明確に競技者及び交代要員と区別可能であれば、ベンチ入りを</t>
  </si>
  <si>
    <t>認める。(但し、県大会本戦は、不可です）</t>
  </si>
  <si>
    <t>リーグ戦は勝ち点方式をとる。　（勝ち＝３点、引分け＝１点）とし</t>
  </si>
  <si>
    <t>①</t>
  </si>
  <si>
    <t>②</t>
  </si>
  <si>
    <t>③</t>
  </si>
  <si>
    <t>④</t>
  </si>
  <si>
    <t>⑦</t>
  </si>
  <si>
    <t>-</t>
  </si>
  <si>
    <t>②</t>
  </si>
  <si>
    <t>④</t>
  </si>
  <si>
    <t>⑤</t>
  </si>
  <si>
    <t>⑥</t>
  </si>
  <si>
    <t>Ａ</t>
  </si>
  <si>
    <t>Ｃ</t>
  </si>
  <si>
    <t>Ｄ</t>
  </si>
  <si>
    <t>決勝戦は、同点となった場合、前後半各５分の延長戦を行い、</t>
  </si>
  <si>
    <t>アスパ五色サッカー場</t>
  </si>
  <si>
    <t>-</t>
  </si>
  <si>
    <t>①</t>
  </si>
  <si>
    <t>②</t>
  </si>
  <si>
    <t>⑤</t>
  </si>
  <si>
    <t>-</t>
  </si>
  <si>
    <t>⑥</t>
  </si>
  <si>
    <t>-</t>
  </si>
  <si>
    <t>淡路サッカー協会第４種委員会</t>
  </si>
  <si>
    <t>サブ北　（クレー側）</t>
  </si>
  <si>
    <t>サブ南　（体育館側）</t>
  </si>
  <si>
    <t>-</t>
  </si>
  <si>
    <t>優勝</t>
  </si>
  <si>
    <t>⑨</t>
  </si>
  <si>
    <t>⑩</t>
  </si>
  <si>
    <t>⑪</t>
  </si>
  <si>
    <t>⑫</t>
  </si>
  <si>
    <t>⑬</t>
  </si>
  <si>
    <t>⑭</t>
  </si>
  <si>
    <t>＜決勝トーナメント＞</t>
  </si>
  <si>
    <t>準優勝</t>
  </si>
  <si>
    <t>交代要員は８名とし、自由な交代を採用します。</t>
  </si>
  <si>
    <t>①</t>
  </si>
  <si>
    <t>＜ＦＰのユニホームは、左側のチームが優先・ＧＫに優先無し・</t>
  </si>
  <si>
    <t>ベンチは、組み合わせの左側が、ピッチに向かって左を使用＞</t>
  </si>
  <si>
    <t>①</t>
  </si>
  <si>
    <t>８人制サッカーとする。</t>
  </si>
  <si>
    <t>予選リーグ戦 （20－７－20・勝ち点　勝ち＝３・引き分け＝１・負け＝０）</t>
  </si>
  <si>
    <t>（20－７－20）</t>
  </si>
  <si>
    <t>なし</t>
  </si>
  <si>
    <t>なし</t>
  </si>
  <si>
    <t>駐車マナー・ごみのお持ち帰り・喫煙場所でのみ喫煙可能を徹底しておくこと</t>
  </si>
  <si>
    <t>＜注意＞　管理棟前の駐車場は、駐車券必要。</t>
  </si>
  <si>
    <t>-</t>
  </si>
  <si>
    <t>最新の日本サッカー協会競技規則に準ずる。</t>
  </si>
  <si>
    <t>B　組</t>
  </si>
  <si>
    <t>C　組</t>
  </si>
  <si>
    <t>D　組</t>
  </si>
  <si>
    <t>審判</t>
  </si>
  <si>
    <t>勝ち点が同じ場合は、直接対戦成績、得失点差、多得点、</t>
  </si>
  <si>
    <t>抽選の順とする。</t>
  </si>
  <si>
    <t>試合時間は、４０分とし、ハーフタイムのインターバルは７分とする。</t>
  </si>
  <si>
    <t>有資格者に限ります。</t>
  </si>
  <si>
    <t>Ｂ</t>
  </si>
  <si>
    <t>Ｃ</t>
  </si>
  <si>
    <t>③</t>
  </si>
  <si>
    <t>④</t>
  </si>
  <si>
    <t>平成２９年１月２１日(土）２２日(日）２９日(日）</t>
  </si>
  <si>
    <t>メイン北　（クレー側）</t>
  </si>
  <si>
    <t>メイン南　（体育館側）</t>
  </si>
  <si>
    <t>ベンチには、役員３名以内（うち１名は指導者資格必要）。</t>
  </si>
  <si>
    <t>交代選手用ビブス(色＝黄緑）以外のビブスを着用し、</t>
  </si>
  <si>
    <t>選手１６名。それ以外の選手は、主催者の用意する</t>
  </si>
  <si>
    <t>決しない場合は、ＰＫ方式により、勝者を決定する。</t>
  </si>
  <si>
    <t>平成２８年度　　兵庫県関西小学生サッカー大会淡路地区予選</t>
  </si>
  <si>
    <t>D</t>
  </si>
  <si>
    <t>シエロFC</t>
  </si>
  <si>
    <t>福良FC</t>
  </si>
  <si>
    <t>一宮FC</t>
  </si>
  <si>
    <t>FC大野</t>
  </si>
  <si>
    <t>三原少年団</t>
  </si>
  <si>
    <t>岩屋FC</t>
  </si>
  <si>
    <t>東浦FC</t>
  </si>
  <si>
    <t>ダイナマイト</t>
  </si>
  <si>
    <t>洲本FC</t>
  </si>
  <si>
    <t>北淡FC</t>
  </si>
  <si>
    <t>西淡SSS</t>
  </si>
  <si>
    <t>五色FC</t>
  </si>
  <si>
    <t>Awaji</t>
  </si>
  <si>
    <t>なし</t>
  </si>
  <si>
    <t>FCシロッコ</t>
  </si>
  <si>
    <t>⑦</t>
  </si>
  <si>
    <t>Ａ　組</t>
  </si>
  <si>
    <t>平成２８年度 兵庫県関西小学生サッカー大会淡路地区予選</t>
  </si>
  <si>
    <t>アスパ五色 メイン芝</t>
  </si>
  <si>
    <t>アスパ五色 メイン芝</t>
  </si>
  <si>
    <t>アスパ五色 サブ芝</t>
  </si>
  <si>
    <t>P</t>
  </si>
  <si>
    <t>K</t>
  </si>
  <si>
    <t>P</t>
  </si>
  <si>
    <t>3位</t>
  </si>
  <si>
    <t>P 3</t>
  </si>
  <si>
    <t>K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</si>
</sst>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0"/>
      <name val="ＭＳ Ｐゴシック"/>
      <family val="3"/>
    </font>
    <font>
      <sz val="26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0"/>
      <name val="ＭＳ Ｐゴシック"/>
      <family val="3"/>
    </font>
    <font>
      <sz val="2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Fill="1" applyAlignment="1">
      <alignment horizontal="center" vertical="center" shrinkToFit="1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shrinkToFit="1"/>
    </xf>
    <xf numFmtId="0" fontId="55" fillId="0" borderId="0" xfId="0" applyFont="1" applyAlignment="1">
      <alignment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shrinkToFit="1"/>
    </xf>
    <xf numFmtId="0" fontId="55" fillId="0" borderId="0" xfId="0" applyFont="1" applyAlignment="1">
      <alignment horizontal="left" shrinkToFit="1"/>
    </xf>
    <xf numFmtId="0" fontId="55" fillId="0" borderId="0" xfId="0" applyFont="1" applyAlignment="1">
      <alignment horizontal="left" vertical="center" shrinkToFit="1"/>
    </xf>
    <xf numFmtId="0" fontId="56" fillId="0" borderId="13" xfId="0" applyFont="1" applyFill="1" applyBorder="1" applyAlignment="1" applyProtection="1">
      <alignment horizontal="center" vertical="center" shrinkToFit="1"/>
      <protection/>
    </xf>
    <xf numFmtId="0" fontId="58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shrinkToFit="1"/>
    </xf>
    <xf numFmtId="0" fontId="55" fillId="0" borderId="0" xfId="0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Alignment="1" applyProtection="1">
      <alignment horizontal="center" vertical="center" shrinkToFit="1"/>
      <protection locked="0"/>
    </xf>
    <xf numFmtId="0" fontId="55" fillId="0" borderId="0" xfId="0" applyFont="1" applyBorder="1" applyAlignment="1">
      <alignment shrinkToFit="1"/>
    </xf>
    <xf numFmtId="0" fontId="55" fillId="0" borderId="0" xfId="6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 shrinkToFit="1"/>
    </xf>
    <xf numFmtId="0" fontId="55" fillId="0" borderId="0" xfId="0" applyFont="1" applyFill="1" applyAlignment="1" applyProtection="1">
      <alignment horizontal="center" shrinkToFit="1"/>
      <protection locked="0"/>
    </xf>
    <xf numFmtId="0" fontId="55" fillId="0" borderId="14" xfId="0" applyFont="1" applyFill="1" applyBorder="1" applyAlignment="1">
      <alignment horizontal="center" shrinkToFit="1"/>
    </xf>
    <xf numFmtId="0" fontId="55" fillId="0" borderId="15" xfId="0" applyFont="1" applyFill="1" applyBorder="1" applyAlignment="1">
      <alignment horizontal="center" shrinkToFit="1"/>
    </xf>
    <xf numFmtId="0" fontId="55" fillId="0" borderId="16" xfId="0" applyFont="1" applyFill="1" applyBorder="1" applyAlignment="1">
      <alignment horizontal="center" shrinkToFit="1"/>
    </xf>
    <xf numFmtId="0" fontId="55" fillId="0" borderId="15" xfId="0" applyFont="1" applyBorder="1" applyAlignment="1">
      <alignment horizontal="center" shrinkToFit="1"/>
    </xf>
    <xf numFmtId="0" fontId="55" fillId="0" borderId="0" xfId="0" applyFont="1" applyFill="1" applyAlignment="1">
      <alignment horizontal="center" shrinkToFit="1"/>
    </xf>
    <xf numFmtId="0" fontId="55" fillId="0" borderId="12" xfId="0" applyFont="1" applyBorder="1" applyAlignment="1">
      <alignment horizontal="center" shrinkToFit="1"/>
    </xf>
    <xf numFmtId="0" fontId="59" fillId="0" borderId="17" xfId="0" applyFont="1" applyFill="1" applyBorder="1" applyAlignment="1">
      <alignment horizontal="center" shrinkToFit="1"/>
    </xf>
    <xf numFmtId="0" fontId="55" fillId="0" borderId="18" xfId="0" applyFont="1" applyFill="1" applyBorder="1" applyAlignment="1">
      <alignment horizontal="center" shrinkToFit="1"/>
    </xf>
    <xf numFmtId="0" fontId="55" fillId="0" borderId="17" xfId="0" applyFont="1" applyFill="1" applyBorder="1" applyAlignment="1">
      <alignment horizontal="center" shrinkToFit="1"/>
    </xf>
    <xf numFmtId="0" fontId="55" fillId="0" borderId="19" xfId="0" applyFont="1" applyFill="1" applyBorder="1" applyAlignment="1">
      <alignment horizontal="center" shrinkToFit="1"/>
    </xf>
    <xf numFmtId="0" fontId="55" fillId="0" borderId="20" xfId="0" applyFont="1" applyFill="1" applyBorder="1" applyAlignment="1">
      <alignment horizontal="center" shrinkToFit="1"/>
    </xf>
    <xf numFmtId="0" fontId="55" fillId="0" borderId="0" xfId="0" applyFont="1" applyFill="1" applyBorder="1" applyAlignment="1">
      <alignment horizontal="right" shrinkToFit="1"/>
    </xf>
    <xf numFmtId="0" fontId="55" fillId="0" borderId="12" xfId="0" applyFont="1" applyFill="1" applyBorder="1" applyAlignment="1">
      <alignment horizontal="center" shrinkToFit="1"/>
    </xf>
    <xf numFmtId="0" fontId="55" fillId="0" borderId="0" xfId="0" applyFont="1" applyFill="1" applyAlignment="1">
      <alignment horizontal="center" vertical="top" shrinkToFit="1"/>
    </xf>
    <xf numFmtId="0" fontId="60" fillId="0" borderId="0" xfId="0" applyFont="1" applyFill="1" applyAlignment="1">
      <alignment horizontal="right" vertical="top" shrinkToFit="1"/>
    </xf>
    <xf numFmtId="0" fontId="60" fillId="0" borderId="0" xfId="0" applyFont="1" applyFill="1" applyAlignment="1">
      <alignment horizontal="left" shrinkToFit="1"/>
    </xf>
    <xf numFmtId="0" fontId="55" fillId="0" borderId="0" xfId="0" applyFont="1" applyAlignment="1">
      <alignment vertical="center"/>
    </xf>
    <xf numFmtId="0" fontId="56" fillId="0" borderId="21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right" shrinkToFit="1"/>
    </xf>
    <xf numFmtId="0" fontId="60" fillId="0" borderId="18" xfId="0" applyFont="1" applyFill="1" applyBorder="1" applyAlignment="1">
      <alignment horizontal="center" shrinkToFit="1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/>
    </xf>
    <xf numFmtId="0" fontId="55" fillId="0" borderId="0" xfId="0" applyFont="1" applyFill="1" applyBorder="1" applyAlignment="1">
      <alignment horizontal="center" shrinkToFit="1"/>
    </xf>
    <xf numFmtId="0" fontId="55" fillId="0" borderId="0" xfId="0" applyFont="1" applyFill="1" applyAlignment="1">
      <alignment horizont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65" fillId="0" borderId="0" xfId="0" applyFont="1" applyAlignment="1">
      <alignment horizontal="left" vertical="center" shrinkToFit="1"/>
    </xf>
    <xf numFmtId="0" fontId="55" fillId="0" borderId="0" xfId="0" applyFont="1" applyFill="1" applyBorder="1" applyAlignment="1">
      <alignment horizontal="center" shrinkToFit="1"/>
    </xf>
    <xf numFmtId="0" fontId="56" fillId="0" borderId="22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vertical="top" shrinkToFit="1"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9" xfId="43" applyFont="1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 applyProtection="1">
      <alignment horizontal="center" vertical="center" shrinkToFit="1"/>
      <protection/>
    </xf>
    <xf numFmtId="0" fontId="7" fillId="33" borderId="16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right" vertical="top" shrinkToFit="1"/>
    </xf>
    <xf numFmtId="0" fontId="55" fillId="0" borderId="29" xfId="0" applyFont="1" applyFill="1" applyBorder="1" applyAlignment="1">
      <alignment horizontal="center" shrinkToFit="1"/>
    </xf>
    <xf numFmtId="0" fontId="55" fillId="0" borderId="30" xfId="0" applyFont="1" applyFill="1" applyBorder="1" applyAlignment="1">
      <alignment horizontal="center" shrinkToFit="1"/>
    </xf>
    <xf numFmtId="0" fontId="55" fillId="0" borderId="31" xfId="0" applyFont="1" applyFill="1" applyBorder="1" applyAlignment="1">
      <alignment horizontal="center" shrinkToFit="1"/>
    </xf>
    <xf numFmtId="0" fontId="55" fillId="0" borderId="32" xfId="0" applyFont="1" applyFill="1" applyBorder="1" applyAlignment="1">
      <alignment horizontal="center" shrinkToFit="1"/>
    </xf>
    <xf numFmtId="0" fontId="59" fillId="0" borderId="33" xfId="0" applyFont="1" applyFill="1" applyBorder="1" applyAlignment="1">
      <alignment horizontal="center" shrinkToFit="1"/>
    </xf>
    <xf numFmtId="0" fontId="55" fillId="0" borderId="34" xfId="0" applyFont="1" applyFill="1" applyBorder="1" applyAlignment="1">
      <alignment horizontal="center" shrinkToFit="1"/>
    </xf>
    <xf numFmtId="0" fontId="55" fillId="0" borderId="33" xfId="0" applyFont="1" applyFill="1" applyBorder="1" applyAlignment="1">
      <alignment horizontal="center" shrinkToFit="1"/>
    </xf>
    <xf numFmtId="0" fontId="55" fillId="0" borderId="35" xfId="0" applyFont="1" applyFill="1" applyBorder="1" applyAlignment="1">
      <alignment horizontal="center" shrinkToFit="1"/>
    </xf>
    <xf numFmtId="0" fontId="0" fillId="0" borderId="32" xfId="0" applyFont="1" applyFill="1" applyBorder="1" applyAlignment="1">
      <alignment horizontal="left" shrinkToFit="1"/>
    </xf>
    <xf numFmtId="0" fontId="55" fillId="0" borderId="36" xfId="0" applyFont="1" applyFill="1" applyBorder="1" applyAlignment="1">
      <alignment horizontal="center" shrinkToFit="1"/>
    </xf>
    <xf numFmtId="0" fontId="55" fillId="0" borderId="37" xfId="0" applyFont="1" applyFill="1" applyBorder="1" applyAlignment="1">
      <alignment horizontal="center" shrinkToFit="1"/>
    </xf>
    <xf numFmtId="0" fontId="55" fillId="0" borderId="38" xfId="0" applyFont="1" applyFill="1" applyBorder="1" applyAlignment="1">
      <alignment horizontal="center" shrinkToFit="1"/>
    </xf>
    <xf numFmtId="0" fontId="55" fillId="0" borderId="0" xfId="0" applyFont="1" applyFill="1" applyBorder="1" applyAlignment="1">
      <alignment horizontal="center" shrinkToFit="1"/>
    </xf>
    <xf numFmtId="0" fontId="55" fillId="0" borderId="0" xfId="0" applyFont="1" applyFill="1" applyAlignment="1">
      <alignment horizontal="center" shrinkToFit="1"/>
    </xf>
    <xf numFmtId="0" fontId="55" fillId="0" borderId="0" xfId="0" applyFont="1" applyFill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shrinkToFit="1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/>
    </xf>
    <xf numFmtId="0" fontId="8" fillId="0" borderId="40" xfId="0" applyFont="1" applyFill="1" applyBorder="1" applyAlignment="1" applyProtection="1">
      <alignment horizontal="center" vertical="center" shrinkToFit="1"/>
      <protection/>
    </xf>
    <xf numFmtId="0" fontId="55" fillId="34" borderId="21" xfId="0" applyFont="1" applyFill="1" applyBorder="1" applyAlignment="1">
      <alignment horizontal="center" vertical="center" shrinkToFit="1"/>
    </xf>
    <xf numFmtId="0" fontId="55" fillId="34" borderId="11" xfId="0" applyFont="1" applyFill="1" applyBorder="1" applyAlignment="1">
      <alignment horizontal="center" vertical="center" shrinkToFit="1"/>
    </xf>
    <xf numFmtId="0" fontId="55" fillId="34" borderId="13" xfId="0" applyFont="1" applyFill="1" applyBorder="1" applyAlignment="1">
      <alignment horizontal="center" vertical="center" shrinkToFit="1"/>
    </xf>
    <xf numFmtId="0" fontId="56" fillId="0" borderId="21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5" fillId="0" borderId="39" xfId="0" applyFont="1" applyBorder="1" applyAlignment="1">
      <alignment horizontal="center" vertical="center" shrinkToFit="1"/>
    </xf>
    <xf numFmtId="0" fontId="55" fillId="0" borderId="40" xfId="0" applyFont="1" applyBorder="1" applyAlignment="1">
      <alignment horizontal="center" vertical="center" shrinkToFit="1"/>
    </xf>
    <xf numFmtId="0" fontId="55" fillId="0" borderId="14" xfId="61" applyFont="1" applyFill="1" applyBorder="1" applyAlignment="1" applyProtection="1">
      <alignment horizontal="center" vertical="center" shrinkToFit="1"/>
      <protection locked="0"/>
    </xf>
    <xf numFmtId="0" fontId="55" fillId="0" borderId="15" xfId="61" applyFont="1" applyFill="1" applyBorder="1" applyAlignment="1" applyProtection="1">
      <alignment horizontal="center" vertical="center" shrinkToFit="1"/>
      <protection locked="0"/>
    </xf>
    <xf numFmtId="0" fontId="55" fillId="0" borderId="16" xfId="61" applyFont="1" applyFill="1" applyBorder="1" applyAlignment="1" applyProtection="1">
      <alignment horizontal="center" vertical="center" shrinkToFit="1"/>
      <protection locked="0"/>
    </xf>
    <xf numFmtId="0" fontId="55" fillId="0" borderId="19" xfId="61" applyFont="1" applyFill="1" applyBorder="1" applyAlignment="1" applyProtection="1">
      <alignment horizontal="center" vertical="center" shrinkToFit="1"/>
      <protection locked="0"/>
    </xf>
    <xf numFmtId="0" fontId="55" fillId="0" borderId="12" xfId="61" applyFont="1" applyFill="1" applyBorder="1" applyAlignment="1" applyProtection="1">
      <alignment horizontal="center" vertical="center" shrinkToFit="1"/>
      <protection locked="0"/>
    </xf>
    <xf numFmtId="0" fontId="55" fillId="0" borderId="20" xfId="6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Alignment="1">
      <alignment horizontal="center" vertical="center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0" xfId="0" applyFont="1" applyAlignment="1">
      <alignment horizontal="center" vertical="top" shrinkToFit="1"/>
    </xf>
    <xf numFmtId="0" fontId="55" fillId="0" borderId="10" xfId="0" applyFont="1" applyBorder="1" applyAlignment="1">
      <alignment horizontal="center" vertical="center" shrinkToFit="1"/>
    </xf>
    <xf numFmtId="56" fontId="55" fillId="35" borderId="15" xfId="0" applyNumberFormat="1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5" fillId="35" borderId="12" xfId="0" applyFont="1" applyFill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center" vertical="center" shrinkToFit="1"/>
    </xf>
    <xf numFmtId="56" fontId="55" fillId="0" borderId="0" xfId="0" applyNumberFormat="1" applyFont="1" applyFill="1" applyBorder="1" applyAlignment="1">
      <alignment horizontal="center" vertical="center" shrinkToFit="1"/>
    </xf>
    <xf numFmtId="56" fontId="55" fillId="0" borderId="0" xfId="0" applyNumberFormat="1" applyFont="1" applyFill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shrinkToFit="1"/>
    </xf>
    <xf numFmtId="0" fontId="7" fillId="0" borderId="39" xfId="0" applyFont="1" applyFill="1" applyBorder="1" applyAlignment="1" applyProtection="1">
      <alignment horizontal="center" vertical="center" shrinkToFit="1"/>
      <protection/>
    </xf>
    <xf numFmtId="0" fontId="7" fillId="0" borderId="40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20" xfId="0" applyFont="1" applyFill="1" applyBorder="1" applyAlignment="1" applyProtection="1">
      <alignment horizontal="center" vertical="center" shrinkToFit="1"/>
      <protection/>
    </xf>
    <xf numFmtId="0" fontId="64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56" fillId="36" borderId="10" xfId="0" applyFont="1" applyFill="1" applyBorder="1" applyAlignment="1">
      <alignment horizontal="center" shrinkToFit="1"/>
    </xf>
    <xf numFmtId="0" fontId="57" fillId="36" borderId="10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63" fillId="0" borderId="19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57" fillId="37" borderId="10" xfId="0" applyFont="1" applyFill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59" fillId="0" borderId="0" xfId="0" applyFont="1" applyFill="1" applyAlignment="1">
      <alignment horizontal="center" shrinkToFit="1"/>
    </xf>
    <xf numFmtId="0" fontId="67" fillId="0" borderId="41" xfId="0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center" shrinkToFit="1"/>
    </xf>
    <xf numFmtId="0" fontId="66" fillId="0" borderId="0" xfId="0" applyFont="1" applyAlignment="1">
      <alignment horizontal="center" shrinkToFit="1"/>
    </xf>
    <xf numFmtId="0" fontId="55" fillId="0" borderId="0" xfId="0" applyFont="1" applyFill="1" applyAlignment="1">
      <alignment horizontal="left" shrinkToFit="1"/>
    </xf>
    <xf numFmtId="0" fontId="56" fillId="0" borderId="12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7" fillId="0" borderId="25" xfId="0" applyFont="1" applyFill="1" applyBorder="1" applyAlignment="1">
      <alignment horizontal="center" vertical="center" shrinkToFit="1"/>
    </xf>
    <xf numFmtId="0" fontId="57" fillId="0" borderId="24" xfId="0" applyFont="1" applyFill="1" applyBorder="1" applyAlignment="1">
      <alignment horizontal="center" vertical="center" shrinkToFit="1"/>
    </xf>
    <xf numFmtId="0" fontId="57" fillId="0" borderId="42" xfId="0" applyFont="1" applyFill="1" applyBorder="1" applyAlignment="1">
      <alignment horizontal="center" vertical="center" shrinkToFit="1"/>
    </xf>
    <xf numFmtId="20" fontId="56" fillId="0" borderId="25" xfId="0" applyNumberFormat="1" applyFont="1" applyFill="1" applyBorder="1" applyAlignment="1">
      <alignment horizontal="center" vertical="center" shrinkToFit="1"/>
    </xf>
    <xf numFmtId="20" fontId="56" fillId="0" borderId="42" xfId="0" applyNumberFormat="1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horizontal="center" vertical="center" shrinkToFit="1"/>
    </xf>
    <xf numFmtId="0" fontId="56" fillId="0" borderId="22" xfId="0" applyFont="1" applyFill="1" applyBorder="1" applyAlignment="1">
      <alignment horizontal="center" vertical="center" shrinkToFit="1"/>
    </xf>
    <xf numFmtId="0" fontId="56" fillId="0" borderId="43" xfId="0" applyFont="1" applyFill="1" applyBorder="1" applyAlignment="1">
      <alignment horizontal="center" vertical="center" shrinkToFit="1"/>
    </xf>
    <xf numFmtId="20" fontId="57" fillId="0" borderId="19" xfId="0" applyNumberFormat="1" applyFont="1" applyFill="1" applyBorder="1" applyAlignment="1">
      <alignment horizontal="center" vertical="center" shrinkToFit="1"/>
    </xf>
    <xf numFmtId="20" fontId="57" fillId="0" borderId="20" xfId="0" applyNumberFormat="1" applyFont="1" applyFill="1" applyBorder="1" applyAlignment="1">
      <alignment horizontal="center" vertical="center" shrinkToFit="1"/>
    </xf>
    <xf numFmtId="20" fontId="57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20" fontId="57" fillId="0" borderId="21" xfId="0" applyNumberFormat="1" applyFont="1" applyFill="1" applyBorder="1" applyAlignment="1">
      <alignment horizontal="center" vertical="center" shrinkToFit="1"/>
    </xf>
    <xf numFmtId="20" fontId="57" fillId="0" borderId="13" xfId="0" applyNumberFormat="1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44" xfId="0" applyFont="1" applyFill="1" applyBorder="1" applyAlignment="1">
      <alignment horizontal="center" vertical="center" shrinkToFit="1"/>
    </xf>
    <xf numFmtId="0" fontId="64" fillId="0" borderId="26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 shrinkToFit="1"/>
    </xf>
    <xf numFmtId="0" fontId="57" fillId="0" borderId="46" xfId="0" applyFont="1" applyFill="1" applyBorder="1" applyAlignment="1">
      <alignment horizontal="center" vertical="center" shrinkToFit="1"/>
    </xf>
    <xf numFmtId="0" fontId="66" fillId="0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 shrinkToFit="1"/>
    </xf>
    <xf numFmtId="20" fontId="57" fillId="0" borderId="51" xfId="0" applyNumberFormat="1" applyFont="1" applyFill="1" applyBorder="1" applyAlignment="1">
      <alignment horizontal="center" vertical="center" shrinkToFit="1"/>
    </xf>
    <xf numFmtId="0" fontId="57" fillId="0" borderId="51" xfId="0" applyFont="1" applyFill="1" applyBorder="1" applyAlignment="1">
      <alignment horizontal="center" vertical="center" shrinkToFit="1"/>
    </xf>
    <xf numFmtId="20" fontId="57" fillId="0" borderId="40" xfId="0" applyNumberFormat="1" applyFont="1" applyFill="1" applyBorder="1" applyAlignment="1">
      <alignment horizontal="center" vertical="center" shrinkToFit="1"/>
    </xf>
    <xf numFmtId="0" fontId="57" fillId="0" borderId="40" xfId="0" applyFont="1" applyFill="1" applyBorder="1" applyAlignment="1">
      <alignment horizontal="center" vertical="center" shrinkToFit="1"/>
    </xf>
    <xf numFmtId="0" fontId="56" fillId="0" borderId="52" xfId="0" applyFont="1" applyFill="1" applyBorder="1" applyAlignment="1">
      <alignment horizontal="center" vertical="center" shrinkToFit="1"/>
    </xf>
    <xf numFmtId="20" fontId="57" fillId="0" borderId="53" xfId="0" applyNumberFormat="1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20" fontId="57" fillId="0" borderId="58" xfId="0" applyNumberFormat="1" applyFont="1" applyFill="1" applyBorder="1" applyAlignment="1">
      <alignment horizontal="center" vertical="center" shrinkToFit="1"/>
    </xf>
    <xf numFmtId="0" fontId="57" fillId="0" borderId="58" xfId="0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7" fillId="0" borderId="45" xfId="0" applyFont="1" applyFill="1" applyBorder="1" applyAlignment="1">
      <alignment horizontal="center" vertical="center" shrinkToFit="1"/>
    </xf>
    <xf numFmtId="0" fontId="56" fillId="0" borderId="59" xfId="0" applyFont="1" applyFill="1" applyBorder="1" applyAlignment="1">
      <alignment horizontal="center" vertical="center" shrinkToFit="1"/>
    </xf>
    <xf numFmtId="0" fontId="56" fillId="0" borderId="60" xfId="0" applyFont="1" applyFill="1" applyBorder="1" applyAlignment="1">
      <alignment horizontal="center" vertical="center" shrinkToFit="1"/>
    </xf>
    <xf numFmtId="0" fontId="68" fillId="0" borderId="54" xfId="0" applyFont="1" applyFill="1" applyBorder="1" applyAlignment="1">
      <alignment horizontal="center" vertical="center" shrinkToFit="1"/>
    </xf>
    <xf numFmtId="0" fontId="68" fillId="0" borderId="61" xfId="0" applyFont="1" applyFill="1" applyBorder="1" applyAlignment="1">
      <alignment horizontal="center" vertical="center" shrinkToFit="1"/>
    </xf>
    <xf numFmtId="0" fontId="68" fillId="0" borderId="62" xfId="0" applyFont="1" applyFill="1" applyBorder="1" applyAlignment="1">
      <alignment horizontal="center" vertical="center" shrinkToFit="1"/>
    </xf>
    <xf numFmtId="0" fontId="68" fillId="0" borderId="56" xfId="0" applyFont="1" applyFill="1" applyBorder="1" applyAlignment="1">
      <alignment horizontal="center" vertical="center" shrinkToFit="1"/>
    </xf>
    <xf numFmtId="0" fontId="68" fillId="0" borderId="24" xfId="0" applyFont="1" applyFill="1" applyBorder="1" applyAlignment="1">
      <alignment horizontal="center" vertical="center" shrinkToFit="1"/>
    </xf>
    <xf numFmtId="0" fontId="68" fillId="0" borderId="46" xfId="0" applyFont="1" applyFill="1" applyBorder="1" applyAlignment="1">
      <alignment horizontal="center" vertical="center" shrinkToFit="1"/>
    </xf>
    <xf numFmtId="0" fontId="57" fillId="0" borderId="43" xfId="0" applyFont="1" applyFill="1" applyBorder="1" applyAlignment="1">
      <alignment horizontal="center" vertical="center" shrinkToFit="1"/>
    </xf>
    <xf numFmtId="20" fontId="56" fillId="0" borderId="27" xfId="0" applyNumberFormat="1" applyFont="1" applyFill="1" applyBorder="1" applyAlignment="1">
      <alignment horizontal="center" vertical="center" shrinkToFit="1"/>
    </xf>
    <xf numFmtId="20" fontId="56" fillId="0" borderId="43" xfId="0" applyNumberFormat="1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right" shrinkToFit="1"/>
    </xf>
    <xf numFmtId="0" fontId="55" fillId="0" borderId="32" xfId="0" applyFont="1" applyBorder="1" applyAlignment="1">
      <alignment shrinkToFit="1"/>
    </xf>
    <xf numFmtId="0" fontId="60" fillId="0" borderId="38" xfId="0" applyFont="1" applyFill="1" applyBorder="1" applyAlignment="1">
      <alignment horizontal="left" shrinkToFit="1"/>
    </xf>
    <xf numFmtId="0" fontId="55" fillId="0" borderId="38" xfId="0" applyFont="1" applyBorder="1" applyAlignment="1">
      <alignment shrinkToFit="1"/>
    </xf>
    <xf numFmtId="0" fontId="55" fillId="0" borderId="63" xfId="0" applyFont="1" applyFill="1" applyBorder="1" applyAlignment="1">
      <alignment horizontal="center" shrinkToFit="1"/>
    </xf>
    <xf numFmtId="0" fontId="55" fillId="0" borderId="61" xfId="0" applyFont="1" applyFill="1" applyBorder="1" applyAlignment="1">
      <alignment horizontal="center" shrinkToFit="1"/>
    </xf>
    <xf numFmtId="0" fontId="55" fillId="0" borderId="38" xfId="0" applyFont="1" applyBorder="1" applyAlignment="1">
      <alignment vertical="top" shrinkToFit="1"/>
    </xf>
    <xf numFmtId="0" fontId="55" fillId="0" borderId="64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24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21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18</xdr:col>
      <xdr:colOff>0</xdr:colOff>
      <xdr:row>12</xdr:row>
      <xdr:rowOff>161925</xdr:rowOff>
    </xdr:to>
    <xdr:sp>
      <xdr:nvSpPr>
        <xdr:cNvPr id="1" name="Line 10"/>
        <xdr:cNvSpPr>
          <a:spLocks/>
        </xdr:cNvSpPr>
      </xdr:nvSpPr>
      <xdr:spPr>
        <a:xfrm>
          <a:off x="1543050" y="1095375"/>
          <a:ext cx="33147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18</xdr:col>
      <xdr:colOff>9525</xdr:colOff>
      <xdr:row>39</xdr:row>
      <xdr:rowOff>9525</xdr:rowOff>
    </xdr:to>
    <xdr:sp>
      <xdr:nvSpPr>
        <xdr:cNvPr id="2" name="Line 10"/>
        <xdr:cNvSpPr>
          <a:spLocks/>
        </xdr:cNvSpPr>
      </xdr:nvSpPr>
      <xdr:spPr>
        <a:xfrm>
          <a:off x="1543050" y="6067425"/>
          <a:ext cx="33242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15</xdr:col>
      <xdr:colOff>9525</xdr:colOff>
      <xdr:row>21</xdr:row>
      <xdr:rowOff>0</xdr:rowOff>
    </xdr:to>
    <xdr:sp>
      <xdr:nvSpPr>
        <xdr:cNvPr id="3" name="Line 13"/>
        <xdr:cNvSpPr>
          <a:spLocks/>
        </xdr:cNvSpPr>
      </xdr:nvSpPr>
      <xdr:spPr>
        <a:xfrm>
          <a:off x="1543050" y="2981325"/>
          <a:ext cx="2495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15</xdr:col>
      <xdr:colOff>0</xdr:colOff>
      <xdr:row>29</xdr:row>
      <xdr:rowOff>9525</xdr:rowOff>
    </xdr:to>
    <xdr:sp>
      <xdr:nvSpPr>
        <xdr:cNvPr id="4" name="Line 12"/>
        <xdr:cNvSpPr>
          <a:spLocks/>
        </xdr:cNvSpPr>
      </xdr:nvSpPr>
      <xdr:spPr>
        <a:xfrm>
          <a:off x="1543050" y="4524375"/>
          <a:ext cx="24860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L1"/>
    </sheetView>
  </sheetViews>
  <sheetFormatPr defaultColWidth="9.00390625" defaultRowHeight="19.5" customHeight="1"/>
  <cols>
    <col min="1" max="1" width="3.00390625" style="5" customWidth="1"/>
    <col min="2" max="2" width="4.375" style="6" customWidth="1"/>
    <col min="3" max="3" width="9.00390625" style="5" customWidth="1"/>
    <col min="4" max="4" width="2.125" style="5" customWidth="1"/>
    <col min="5" max="5" width="2.625" style="5" customWidth="1"/>
    <col min="6" max="10" width="9.00390625" style="5" customWidth="1"/>
    <col min="11" max="11" width="10.50390625" style="5" customWidth="1"/>
    <col min="12" max="16384" width="9.00390625" style="5" customWidth="1"/>
  </cols>
  <sheetData>
    <row r="1" spans="1:12" s="2" customFormat="1" ht="19.5" customHeight="1">
      <c r="A1" s="141" t="s">
        <v>115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2" s="2" customFormat="1" ht="8.25" customHeight="1">
      <c r="A2" s="1"/>
      <c r="B2" s="3"/>
    </row>
    <row r="3" spans="1:2" s="2" customFormat="1" ht="19.5" customHeight="1">
      <c r="A3" s="2" t="s">
        <v>42</v>
      </c>
      <c r="B3" s="3"/>
    </row>
    <row r="4" spans="2:5" s="2" customFormat="1" ht="19.5" customHeight="1">
      <c r="B4" s="3" t="s">
        <v>25</v>
      </c>
      <c r="C4" s="4" t="s">
        <v>27</v>
      </c>
      <c r="E4" s="9" t="s">
        <v>69</v>
      </c>
    </row>
    <row r="5" spans="2:5" s="2" customFormat="1" ht="19.5" customHeight="1">
      <c r="B5" s="3" t="s">
        <v>26</v>
      </c>
      <c r="C5" s="4" t="s">
        <v>32</v>
      </c>
      <c r="E5" s="12" t="s">
        <v>108</v>
      </c>
    </row>
    <row r="6" spans="2:11" s="2" customFormat="1" ht="19.5" customHeight="1">
      <c r="B6" s="3" t="s">
        <v>28</v>
      </c>
      <c r="C6" s="10" t="s">
        <v>33</v>
      </c>
      <c r="D6" s="11"/>
      <c r="E6" s="11" t="s">
        <v>61</v>
      </c>
      <c r="F6" s="11"/>
      <c r="G6" s="11"/>
      <c r="H6" s="11"/>
      <c r="I6" s="11"/>
      <c r="J6" s="11"/>
      <c r="K6"/>
    </row>
    <row r="7" spans="2:11" s="2" customFormat="1" ht="19.5" customHeight="1">
      <c r="B7" s="3" t="s">
        <v>29</v>
      </c>
      <c r="C7" s="10" t="s">
        <v>34</v>
      </c>
      <c r="D7" s="11"/>
      <c r="E7" s="11" t="s">
        <v>86</v>
      </c>
      <c r="F7" s="11" t="s">
        <v>95</v>
      </c>
      <c r="G7" s="11"/>
      <c r="H7" s="11"/>
      <c r="I7" s="11"/>
      <c r="J7" s="11"/>
      <c r="K7"/>
    </row>
    <row r="8" spans="2:11" s="2" customFormat="1" ht="19.5" customHeight="1">
      <c r="B8" s="3"/>
      <c r="C8" s="10"/>
      <c r="D8" s="11"/>
      <c r="E8" s="11"/>
      <c r="F8" s="11" t="s">
        <v>87</v>
      </c>
      <c r="G8" s="11"/>
      <c r="H8" s="11"/>
      <c r="I8" s="11"/>
      <c r="J8" s="11"/>
      <c r="K8"/>
    </row>
    <row r="9" spans="2:6" s="2" customFormat="1" ht="19.5" customHeight="1">
      <c r="B9" s="3"/>
      <c r="C9" s="4"/>
      <c r="E9" s="2" t="s">
        <v>53</v>
      </c>
      <c r="F9" s="9" t="s">
        <v>102</v>
      </c>
    </row>
    <row r="10" spans="2:6" s="2" customFormat="1" ht="19.5" customHeight="1">
      <c r="B10" s="3"/>
      <c r="C10" s="4"/>
      <c r="E10" s="2" t="s">
        <v>40</v>
      </c>
      <c r="F10" s="9" t="s">
        <v>82</v>
      </c>
    </row>
    <row r="11" spans="2:6" s="2" customFormat="1" ht="19.5" customHeight="1">
      <c r="B11" s="3"/>
      <c r="C11" s="4"/>
      <c r="E11" s="2" t="s">
        <v>54</v>
      </c>
      <c r="F11" s="9" t="s">
        <v>111</v>
      </c>
    </row>
    <row r="12" spans="2:6" s="2" customFormat="1" ht="19.5" customHeight="1">
      <c r="B12" s="3"/>
      <c r="C12" s="4"/>
      <c r="F12" s="52" t="s">
        <v>113</v>
      </c>
    </row>
    <row r="13" spans="2:6" s="2" customFormat="1" ht="19.5" customHeight="1">
      <c r="B13" s="3"/>
      <c r="C13" s="4"/>
      <c r="F13" s="9" t="s">
        <v>112</v>
      </c>
    </row>
    <row r="14" spans="2:6" s="2" customFormat="1" ht="19.5" customHeight="1">
      <c r="B14" s="3"/>
      <c r="C14" s="4"/>
      <c r="F14" s="2" t="s">
        <v>44</v>
      </c>
    </row>
    <row r="15" spans="2:6" s="2" customFormat="1" ht="19.5" customHeight="1">
      <c r="B15" s="3"/>
      <c r="C15" s="4"/>
      <c r="F15" s="2" t="s">
        <v>45</v>
      </c>
    </row>
    <row r="16" spans="2:6" s="2" customFormat="1" ht="19.5" customHeight="1">
      <c r="B16" s="3"/>
      <c r="C16" s="4"/>
      <c r="E16" s="2" t="s">
        <v>55</v>
      </c>
      <c r="F16" s="2" t="s">
        <v>46</v>
      </c>
    </row>
    <row r="17" spans="2:6" s="2" customFormat="1" ht="19.5" customHeight="1">
      <c r="B17" s="3"/>
      <c r="C17" s="4"/>
      <c r="F17" s="2" t="s">
        <v>100</v>
      </c>
    </row>
    <row r="18" spans="2:6" s="2" customFormat="1" ht="19.5" customHeight="1">
      <c r="B18" s="3"/>
      <c r="C18" s="4"/>
      <c r="F18" s="12" t="s">
        <v>101</v>
      </c>
    </row>
    <row r="19" spans="1:6" ht="19.5" customHeight="1">
      <c r="A19" s="2"/>
      <c r="B19" s="3"/>
      <c r="C19" s="4"/>
      <c r="D19" s="2"/>
      <c r="E19" s="2" t="s">
        <v>56</v>
      </c>
      <c r="F19" s="8" t="s">
        <v>43</v>
      </c>
    </row>
    <row r="20" spans="3:6" ht="19.5" customHeight="1">
      <c r="C20" s="7"/>
      <c r="F20" s="8" t="s">
        <v>60</v>
      </c>
    </row>
    <row r="21" spans="3:6" ht="19.5" customHeight="1">
      <c r="C21" s="7"/>
      <c r="F21" s="9" t="s">
        <v>114</v>
      </c>
    </row>
    <row r="22" spans="3:6" ht="19.5" customHeight="1">
      <c r="C22" s="7"/>
      <c r="E22" s="9" t="s">
        <v>51</v>
      </c>
      <c r="F22" s="5" t="s">
        <v>41</v>
      </c>
    </row>
    <row r="23" spans="3:6" ht="19.5" customHeight="1">
      <c r="C23" s="7"/>
      <c r="F23" s="5" t="s">
        <v>39</v>
      </c>
    </row>
    <row r="24" spans="2:5" ht="19.5" customHeight="1">
      <c r="B24" s="6" t="s">
        <v>30</v>
      </c>
      <c r="C24" s="7" t="s">
        <v>35</v>
      </c>
      <c r="E24" s="9" t="s">
        <v>103</v>
      </c>
    </row>
    <row r="25" spans="2:5" ht="19.5" customHeight="1">
      <c r="B25" s="6" t="s">
        <v>31</v>
      </c>
      <c r="C25" s="7" t="s">
        <v>36</v>
      </c>
      <c r="E25" s="5" t="s">
        <v>37</v>
      </c>
    </row>
    <row r="26" spans="3:5" ht="19.5" customHeight="1">
      <c r="C26" s="7"/>
      <c r="E26" s="5" t="s">
        <v>38</v>
      </c>
    </row>
  </sheetData>
  <sheetProtection/>
  <mergeCells count="1">
    <mergeCell ref="A1:L1"/>
  </mergeCells>
  <printOptions horizontalCentered="1"/>
  <pageMargins left="0.5511811023622047" right="0.35433070866141736" top="0.78740157480314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8"/>
  <sheetViews>
    <sheetView tabSelected="1" zoomScalePageLayoutView="0" workbookViewId="0" topLeftCell="A1">
      <selection activeCell="O59" sqref="O59"/>
    </sheetView>
  </sheetViews>
  <sheetFormatPr defaultColWidth="9.00390625" defaultRowHeight="13.5"/>
  <cols>
    <col min="1" max="1" width="2.125" style="21" customWidth="1"/>
    <col min="2" max="2" width="3.625" style="20" customWidth="1"/>
    <col min="3" max="6" width="3.625" style="21" customWidth="1"/>
    <col min="7" max="25" width="3.625" style="40" customWidth="1"/>
    <col min="26" max="26" width="0.74609375" style="40" customWidth="1"/>
    <col min="27" max="27" width="21.50390625" style="18" hidden="1" customWidth="1"/>
    <col min="28" max="28" width="15.50390625" style="18" hidden="1" customWidth="1"/>
    <col min="29" max="29" width="15.25390625" style="18" hidden="1" customWidth="1"/>
    <col min="30" max="30" width="14.75390625" style="18" hidden="1" customWidth="1"/>
    <col min="31" max="31" width="19.00390625" style="18" hidden="1" customWidth="1"/>
    <col min="32" max="32" width="15.00390625" style="18" hidden="1" customWidth="1"/>
    <col min="33" max="33" width="15.625" style="18" hidden="1" customWidth="1"/>
    <col min="34" max="34" width="15.125" style="18" hidden="1" customWidth="1"/>
    <col min="35" max="35" width="18.50390625" style="19" hidden="1" customWidth="1"/>
    <col min="36" max="36" width="15.125" style="19" hidden="1" customWidth="1"/>
    <col min="37" max="37" width="17.625" style="19" hidden="1" customWidth="1"/>
    <col min="38" max="38" width="26.00390625" style="19" hidden="1" customWidth="1"/>
    <col min="39" max="54" width="3.625" style="19" customWidth="1"/>
    <col min="55" max="16384" width="9.00390625" style="19" customWidth="1"/>
  </cols>
  <sheetData>
    <row r="1" spans="1:34" s="99" customFormat="1" ht="18.75" customHeight="1">
      <c r="A1" s="181" t="str">
        <f>'要項'!A1</f>
        <v>平成２８年度　　兵庫県関西小学生サッカー大会淡路地区予選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97"/>
      <c r="AA1" s="98"/>
      <c r="AB1" s="98"/>
      <c r="AC1" s="98"/>
      <c r="AD1" s="98"/>
      <c r="AE1" s="98"/>
      <c r="AF1" s="98"/>
      <c r="AG1" s="98"/>
      <c r="AH1" s="98"/>
    </row>
    <row r="2" spans="1:34" s="99" customFormat="1" ht="18.75" customHeight="1">
      <c r="A2" s="100"/>
      <c r="B2" s="20"/>
      <c r="C2" s="20"/>
      <c r="D2" s="20"/>
      <c r="E2" s="20"/>
      <c r="F2" s="20"/>
      <c r="G2" s="97"/>
      <c r="H2" s="97"/>
      <c r="I2" s="97"/>
      <c r="J2" s="97"/>
      <c r="K2" s="97"/>
      <c r="L2" s="97"/>
      <c r="M2" s="97"/>
      <c r="N2" s="161" t="str">
        <f>'要項'!E5</f>
        <v>平成２９年１月２１日(土）２２日(日）２９日(日）</v>
      </c>
      <c r="O2" s="161"/>
      <c r="P2" s="161"/>
      <c r="Q2" s="161"/>
      <c r="R2" s="161"/>
      <c r="S2" s="161"/>
      <c r="T2" s="161"/>
      <c r="U2" s="161"/>
      <c r="V2" s="161"/>
      <c r="W2" s="161"/>
      <c r="X2" s="97"/>
      <c r="Y2" s="97"/>
      <c r="Z2" s="97"/>
      <c r="AA2" s="98"/>
      <c r="AB2" s="98"/>
      <c r="AC2" s="98"/>
      <c r="AD2" s="98"/>
      <c r="AE2" s="98"/>
      <c r="AF2" s="98"/>
      <c r="AG2" s="98"/>
      <c r="AH2" s="98"/>
    </row>
    <row r="3" spans="1:34" s="99" customFormat="1" ht="16.5" customHeight="1">
      <c r="A3" s="20"/>
      <c r="B3" s="182" t="s">
        <v>88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97"/>
      <c r="AA3" s="96"/>
      <c r="AB3" s="96"/>
      <c r="AC3" s="98"/>
      <c r="AD3" s="175" t="s">
        <v>11</v>
      </c>
      <c r="AE3" s="175" t="s">
        <v>12</v>
      </c>
      <c r="AF3" s="175" t="s">
        <v>13</v>
      </c>
      <c r="AG3" s="98"/>
      <c r="AH3" s="98"/>
    </row>
    <row r="4" spans="1:32" ht="5.25" customHeight="1">
      <c r="A4" s="22"/>
      <c r="B4" s="23"/>
      <c r="AA4" s="26"/>
      <c r="AB4" s="26"/>
      <c r="AD4" s="175"/>
      <c r="AE4" s="175"/>
      <c r="AF4" s="175"/>
    </row>
    <row r="5" spans="2:33" ht="27" customHeight="1">
      <c r="B5" s="147" t="s">
        <v>133</v>
      </c>
      <c r="C5" s="148"/>
      <c r="D5" s="148"/>
      <c r="E5" s="148"/>
      <c r="F5" s="149"/>
      <c r="G5" s="150" t="str">
        <f>C6</f>
        <v>シエロFC</v>
      </c>
      <c r="H5" s="151"/>
      <c r="I5" s="152"/>
      <c r="J5" s="150" t="str">
        <f>C8</f>
        <v>福良FC</v>
      </c>
      <c r="K5" s="151"/>
      <c r="L5" s="152"/>
      <c r="M5" s="150" t="str">
        <f>C10</f>
        <v>一宮FC</v>
      </c>
      <c r="N5" s="151"/>
      <c r="O5" s="152"/>
      <c r="P5" s="150" t="str">
        <f>C12</f>
        <v>FC大野</v>
      </c>
      <c r="Q5" s="151"/>
      <c r="R5" s="152"/>
      <c r="S5" s="24" t="s">
        <v>1</v>
      </c>
      <c r="T5" s="13" t="s">
        <v>2</v>
      </c>
      <c r="U5" s="13" t="s">
        <v>15</v>
      </c>
      <c r="V5" s="13" t="s">
        <v>10</v>
      </c>
      <c r="W5" s="13" t="s">
        <v>3</v>
      </c>
      <c r="X5" s="13" t="s">
        <v>4</v>
      </c>
      <c r="Y5" s="13" t="s">
        <v>5</v>
      </c>
      <c r="AD5" s="175"/>
      <c r="AE5" s="175"/>
      <c r="AF5" s="175"/>
      <c r="AG5" s="25" t="s">
        <v>14</v>
      </c>
    </row>
    <row r="6" spans="2:37" ht="13.5" customHeight="1">
      <c r="B6" s="153" t="s">
        <v>47</v>
      </c>
      <c r="C6" s="155" t="s">
        <v>117</v>
      </c>
      <c r="D6" s="156"/>
      <c r="E6" s="156"/>
      <c r="F6" s="157"/>
      <c r="G6" s="104"/>
      <c r="H6" s="105">
        <f>IF(G7="","",IF(G7&gt;I7,"○",IF(G7&lt;I7,"●","△")))</f>
      </c>
      <c r="I6" s="106"/>
      <c r="J6" s="104"/>
      <c r="K6" s="105" t="str">
        <f>IF(J7="","",IF(J7&gt;L7,"○",IF(J7&lt;L7,"●","△")))</f>
        <v>●</v>
      </c>
      <c r="L6" s="106"/>
      <c r="M6" s="104"/>
      <c r="N6" s="105" t="str">
        <f>IF(M7="","",IF(M7&gt;O7,"○",IF(M7&lt;O7,"●","△")))</f>
        <v>○</v>
      </c>
      <c r="O6" s="105"/>
      <c r="P6" s="104"/>
      <c r="Q6" s="105" t="str">
        <f>IF(P7="","",IF(P7&gt;R7,"○",IF(P7&lt;R7,"●","△")))</f>
        <v>○</v>
      </c>
      <c r="R6" s="106"/>
      <c r="S6" s="179">
        <f>AA6</f>
        <v>2</v>
      </c>
      <c r="T6" s="177">
        <f>AB6</f>
        <v>0</v>
      </c>
      <c r="U6" s="177">
        <f>AC6</f>
        <v>1</v>
      </c>
      <c r="V6" s="177">
        <f>G7+J7+M7+P7</f>
        <v>12</v>
      </c>
      <c r="W6" s="177">
        <f>G7+J7+M7+P7-I7-L7-O7-R7</f>
        <v>7</v>
      </c>
      <c r="X6" s="177">
        <f>3*S6+T6</f>
        <v>6</v>
      </c>
      <c r="Y6" s="145">
        <f>RANK(AG6,$AG$6:$AG$13,1)</f>
        <v>1</v>
      </c>
      <c r="AA6" s="142">
        <f>COUNTIF($H6:$Q6,"○")</f>
        <v>2</v>
      </c>
      <c r="AB6" s="142">
        <f>COUNTIF($H6:$Q6,"△")</f>
        <v>0</v>
      </c>
      <c r="AC6" s="142">
        <f>COUNTIF($G6:$Q6,"●")</f>
        <v>1</v>
      </c>
      <c r="AD6" s="142">
        <f>100*RANK(X6,$X$6:$X$13,0)</f>
        <v>100</v>
      </c>
      <c r="AE6" s="142">
        <f>10*RANK(W6,$W$6:$W$13,0)</f>
        <v>10</v>
      </c>
      <c r="AF6" s="142">
        <f>RANK(V6,$V$6:$V$13,0)</f>
        <v>1</v>
      </c>
      <c r="AG6" s="142">
        <f>SUM(AD6:AF6)</f>
        <v>111</v>
      </c>
      <c r="AI6" s="142">
        <f>Y6</f>
        <v>1</v>
      </c>
      <c r="AJ6" s="142" t="str">
        <f>C6</f>
        <v>シエロFC</v>
      </c>
      <c r="AK6" s="142"/>
    </row>
    <row r="7" spans="2:37" ht="13.5" customHeight="1">
      <c r="B7" s="154"/>
      <c r="C7" s="158"/>
      <c r="D7" s="159"/>
      <c r="E7" s="159"/>
      <c r="F7" s="160"/>
      <c r="G7" s="107"/>
      <c r="H7" s="108"/>
      <c r="I7" s="109"/>
      <c r="J7" s="110">
        <v>1</v>
      </c>
      <c r="K7" s="108" t="s">
        <v>52</v>
      </c>
      <c r="L7" s="111">
        <v>2</v>
      </c>
      <c r="M7" s="110">
        <v>4</v>
      </c>
      <c r="N7" s="108" t="s">
        <v>52</v>
      </c>
      <c r="O7" s="112">
        <v>2</v>
      </c>
      <c r="P7" s="110">
        <v>7</v>
      </c>
      <c r="Q7" s="108" t="s">
        <v>94</v>
      </c>
      <c r="R7" s="111">
        <v>1</v>
      </c>
      <c r="S7" s="180"/>
      <c r="T7" s="178"/>
      <c r="U7" s="178"/>
      <c r="V7" s="178"/>
      <c r="W7" s="178"/>
      <c r="X7" s="178"/>
      <c r="Y7" s="146"/>
      <c r="AA7" s="142"/>
      <c r="AB7" s="142"/>
      <c r="AC7" s="142"/>
      <c r="AD7" s="142"/>
      <c r="AE7" s="142"/>
      <c r="AF7" s="142"/>
      <c r="AG7" s="142"/>
      <c r="AI7" s="142"/>
      <c r="AJ7" s="142"/>
      <c r="AK7" s="142"/>
    </row>
    <row r="8" spans="2:37" ht="13.5" customHeight="1">
      <c r="B8" s="153" t="s">
        <v>48</v>
      </c>
      <c r="C8" s="155" t="s">
        <v>118</v>
      </c>
      <c r="D8" s="156"/>
      <c r="E8" s="156"/>
      <c r="F8" s="157"/>
      <c r="G8" s="104"/>
      <c r="H8" s="105" t="str">
        <f>IF(G9="","",IF(G9&gt;I9,"○",IF(G9&lt;I9,"●","△")))</f>
        <v>○</v>
      </c>
      <c r="I8" s="106"/>
      <c r="J8" s="104"/>
      <c r="K8" s="105">
        <f>IF(J9="","",IF(J9&gt;L9,"○",IF(J9&lt;L9,"●","△")))</f>
      </c>
      <c r="L8" s="106"/>
      <c r="M8" s="104"/>
      <c r="N8" s="105" t="str">
        <f>IF(M9="","",IF(M9&gt;O9,"○",IF(M9&lt;O9,"●","△")))</f>
        <v>●</v>
      </c>
      <c r="O8" s="105"/>
      <c r="P8" s="104"/>
      <c r="Q8" s="105" t="str">
        <f>IF(P9="","",IF(P9&gt;R9,"○",IF(P9&lt;R9,"●","△")))</f>
        <v>△</v>
      </c>
      <c r="R8" s="106"/>
      <c r="S8" s="179">
        <f>AA8</f>
        <v>1</v>
      </c>
      <c r="T8" s="177">
        <f>AB8</f>
        <v>1</v>
      </c>
      <c r="U8" s="177">
        <f>AC8</f>
        <v>1</v>
      </c>
      <c r="V8" s="177">
        <f>G9+J9+M9+P9</f>
        <v>4</v>
      </c>
      <c r="W8" s="177">
        <f>G9+J9+M9+P9-I9-L9-O9-R9</f>
        <v>-2</v>
      </c>
      <c r="X8" s="177">
        <f>3*S8+T8</f>
        <v>4</v>
      </c>
      <c r="Y8" s="145">
        <f>RANK(AG8,$AG$6:$AG$13,1)</f>
        <v>3</v>
      </c>
      <c r="AA8" s="142">
        <f>COUNTIF($H8:$Q8,"○")</f>
        <v>1</v>
      </c>
      <c r="AB8" s="142">
        <f>COUNTIF($H8:$Q8,"△")</f>
        <v>1</v>
      </c>
      <c r="AC8" s="142">
        <f>COUNTIF($G8:$Q8,"●")</f>
        <v>1</v>
      </c>
      <c r="AD8" s="142">
        <f>100*RANK(X8,$X$6:$X$13,0)</f>
        <v>300</v>
      </c>
      <c r="AE8" s="142">
        <f>10*RANK(W8,$W$6:$W$13,0)</f>
        <v>30</v>
      </c>
      <c r="AF8" s="142">
        <f>RANK(V8,$V$6:$V$13,0)</f>
        <v>3</v>
      </c>
      <c r="AG8" s="142">
        <f>SUM(AD8:AF8)</f>
        <v>333</v>
      </c>
      <c r="AI8" s="142">
        <f>Y8</f>
        <v>3</v>
      </c>
      <c r="AJ8" s="142" t="str">
        <f>C8</f>
        <v>福良FC</v>
      </c>
      <c r="AK8" s="142"/>
    </row>
    <row r="9" spans="2:37" ht="13.5" customHeight="1">
      <c r="B9" s="154"/>
      <c r="C9" s="158"/>
      <c r="D9" s="159"/>
      <c r="E9" s="159"/>
      <c r="F9" s="160"/>
      <c r="G9" s="107">
        <f>L7</f>
        <v>2</v>
      </c>
      <c r="H9" s="108" t="s">
        <v>9</v>
      </c>
      <c r="I9" s="109">
        <f>J7</f>
        <v>1</v>
      </c>
      <c r="J9" s="107"/>
      <c r="K9" s="108"/>
      <c r="L9" s="109"/>
      <c r="M9" s="113">
        <v>1</v>
      </c>
      <c r="N9" s="108" t="s">
        <v>94</v>
      </c>
      <c r="O9" s="112">
        <v>4</v>
      </c>
      <c r="P9" s="110">
        <v>1</v>
      </c>
      <c r="Q9" s="108" t="s">
        <v>52</v>
      </c>
      <c r="R9" s="111">
        <v>1</v>
      </c>
      <c r="S9" s="180"/>
      <c r="T9" s="178"/>
      <c r="U9" s="178"/>
      <c r="V9" s="178"/>
      <c r="W9" s="178"/>
      <c r="X9" s="178"/>
      <c r="Y9" s="146"/>
      <c r="AA9" s="142"/>
      <c r="AB9" s="142"/>
      <c r="AC9" s="142"/>
      <c r="AD9" s="142"/>
      <c r="AE9" s="142"/>
      <c r="AF9" s="142"/>
      <c r="AG9" s="142"/>
      <c r="AI9" s="142"/>
      <c r="AJ9" s="142"/>
      <c r="AK9" s="142"/>
    </row>
    <row r="10" spans="2:37" ht="13.5" customHeight="1">
      <c r="B10" s="153" t="s">
        <v>49</v>
      </c>
      <c r="C10" s="155" t="s">
        <v>119</v>
      </c>
      <c r="D10" s="156"/>
      <c r="E10" s="156"/>
      <c r="F10" s="157"/>
      <c r="G10" s="104"/>
      <c r="H10" s="105" t="str">
        <f>IF(G11="","",IF(G11&gt;I11,"○",IF(G11&lt;I11,"●","△")))</f>
        <v>●</v>
      </c>
      <c r="I10" s="106"/>
      <c r="J10" s="104"/>
      <c r="K10" s="105" t="str">
        <f>IF(J11="","",IF(J11&gt;L11,"○",IF(J11&lt;L11,"●","△")))</f>
        <v>○</v>
      </c>
      <c r="L10" s="106"/>
      <c r="M10" s="104"/>
      <c r="N10" s="105">
        <f>IF(M11="","",IF(M11&gt;O11,"○",IF(M11&lt;O11,"●","△")))</f>
      </c>
      <c r="O10" s="105"/>
      <c r="P10" s="104"/>
      <c r="Q10" s="105" t="str">
        <f>IF(P11="","",IF(P11&gt;R11,"○",IF(P11&lt;R11,"●","△")))</f>
        <v>○</v>
      </c>
      <c r="R10" s="106"/>
      <c r="S10" s="179">
        <f>AA10</f>
        <v>2</v>
      </c>
      <c r="T10" s="177">
        <f>AB10</f>
        <v>0</v>
      </c>
      <c r="U10" s="177">
        <f>AC10</f>
        <v>1</v>
      </c>
      <c r="V10" s="177">
        <f>G11+J11+M11+P11</f>
        <v>7</v>
      </c>
      <c r="W10" s="177">
        <f>G11+J11+M11+P11-I11-L11-O11-R11</f>
        <v>2</v>
      </c>
      <c r="X10" s="177">
        <f>3*S10+T10</f>
        <v>6</v>
      </c>
      <c r="Y10" s="145">
        <f>RANK(AG10,$AG$6:$AG$13,1)</f>
        <v>2</v>
      </c>
      <c r="AA10" s="142">
        <f>COUNTIF($H10:$Q10,"○")</f>
        <v>2</v>
      </c>
      <c r="AB10" s="142">
        <f>COUNTIF($H10:$Q10,"△")</f>
        <v>0</v>
      </c>
      <c r="AC10" s="142">
        <f>COUNTIF($G10:$Q10,"●")</f>
        <v>1</v>
      </c>
      <c r="AD10" s="142">
        <f>100*RANK(X10,$X$6:$X$13,0)</f>
        <v>100</v>
      </c>
      <c r="AE10" s="176">
        <f>10*RANK(W10,$W$6:$W$13,0)</f>
        <v>20</v>
      </c>
      <c r="AF10" s="176">
        <f>RANK(V10,$V$6:$V$13,0)</f>
        <v>2</v>
      </c>
      <c r="AG10" s="142">
        <f>SUM(AD10:AF10)</f>
        <v>122</v>
      </c>
      <c r="AI10" s="142">
        <f>Y10</f>
        <v>2</v>
      </c>
      <c r="AJ10" s="142" t="str">
        <f>C10</f>
        <v>一宮FC</v>
      </c>
      <c r="AK10" s="142"/>
    </row>
    <row r="11" spans="2:37" ht="13.5" customHeight="1">
      <c r="B11" s="154"/>
      <c r="C11" s="158"/>
      <c r="D11" s="159"/>
      <c r="E11" s="159"/>
      <c r="F11" s="160"/>
      <c r="G11" s="107">
        <f>O7</f>
        <v>2</v>
      </c>
      <c r="H11" s="108" t="s">
        <v>9</v>
      </c>
      <c r="I11" s="109">
        <f>M7</f>
        <v>4</v>
      </c>
      <c r="J11" s="107">
        <f>O9</f>
        <v>4</v>
      </c>
      <c r="K11" s="108" t="s">
        <v>9</v>
      </c>
      <c r="L11" s="109">
        <f>M9</f>
        <v>1</v>
      </c>
      <c r="M11" s="107"/>
      <c r="N11" s="108"/>
      <c r="O11" s="108"/>
      <c r="P11" s="107">
        <v>1</v>
      </c>
      <c r="Q11" s="108" t="s">
        <v>52</v>
      </c>
      <c r="R11" s="109">
        <v>0</v>
      </c>
      <c r="S11" s="180"/>
      <c r="T11" s="178"/>
      <c r="U11" s="178"/>
      <c r="V11" s="178"/>
      <c r="W11" s="178"/>
      <c r="X11" s="178"/>
      <c r="Y11" s="146"/>
      <c r="AA11" s="142"/>
      <c r="AB11" s="142"/>
      <c r="AC11" s="142"/>
      <c r="AD11" s="142"/>
      <c r="AE11" s="176"/>
      <c r="AF11" s="176"/>
      <c r="AG11" s="142"/>
      <c r="AI11" s="142"/>
      <c r="AJ11" s="142"/>
      <c r="AK11" s="142"/>
    </row>
    <row r="12" spans="2:37" ht="13.5" customHeight="1">
      <c r="B12" s="153" t="s">
        <v>50</v>
      </c>
      <c r="C12" s="155" t="s">
        <v>120</v>
      </c>
      <c r="D12" s="156"/>
      <c r="E12" s="156"/>
      <c r="F12" s="157"/>
      <c r="G12" s="104"/>
      <c r="H12" s="105" t="str">
        <f>IF(G13="","",IF(G13&gt;I13,"○",IF(G13&lt;I13,"●","△")))</f>
        <v>●</v>
      </c>
      <c r="I12" s="106"/>
      <c r="J12" s="104"/>
      <c r="K12" s="105" t="str">
        <f>IF(J13="","",IF(J13&gt;L13,"○",IF(J13&lt;L13,"●","△")))</f>
        <v>△</v>
      </c>
      <c r="L12" s="106"/>
      <c r="M12" s="104"/>
      <c r="N12" s="105" t="str">
        <f>IF(M13="","",IF(M13&gt;O13,"○",IF(M13&lt;O13,"●","△")))</f>
        <v>●</v>
      </c>
      <c r="O12" s="105"/>
      <c r="P12" s="104"/>
      <c r="Q12" s="105">
        <f>IF(P13="","",IF(P13&gt;R13,"○",IF(P13&lt;R13,"●","△")))</f>
      </c>
      <c r="R12" s="106"/>
      <c r="S12" s="179">
        <f>AA12</f>
        <v>0</v>
      </c>
      <c r="T12" s="177">
        <f>AB12</f>
        <v>1</v>
      </c>
      <c r="U12" s="177">
        <f>AC12</f>
        <v>2</v>
      </c>
      <c r="V12" s="177">
        <f>G13+J13+M13+P13</f>
        <v>2</v>
      </c>
      <c r="W12" s="177">
        <f>G13+J13+M13+P13-I13-L13-O13-R13</f>
        <v>-7</v>
      </c>
      <c r="X12" s="177">
        <f>3*S12+T12</f>
        <v>1</v>
      </c>
      <c r="Y12" s="145">
        <f>RANK(AG12,$AG$6:$AG$13,1)</f>
        <v>4</v>
      </c>
      <c r="AA12" s="142">
        <f>COUNTIF($H12:$Q12,"○")</f>
        <v>0</v>
      </c>
      <c r="AB12" s="142">
        <f>COUNTIF($H12:$Q12,"△")</f>
        <v>1</v>
      </c>
      <c r="AC12" s="142">
        <f>COUNTIF($G12:$Q12,"●")</f>
        <v>2</v>
      </c>
      <c r="AD12" s="142">
        <f>100*RANK(X12,$X$6:$X$13,0)</f>
        <v>400</v>
      </c>
      <c r="AE12" s="142">
        <f>10*RANK(W12,$W$6:$W$13,0)</f>
        <v>40</v>
      </c>
      <c r="AF12" s="142">
        <f>RANK(V12,$V$6:$V$13,0)</f>
        <v>4</v>
      </c>
      <c r="AG12" s="142">
        <f>SUM(AD12:AF12)</f>
        <v>444</v>
      </c>
      <c r="AI12" s="142">
        <f>Y12</f>
        <v>4</v>
      </c>
      <c r="AJ12" s="142" t="str">
        <f>C12</f>
        <v>FC大野</v>
      </c>
      <c r="AK12" s="142"/>
    </row>
    <row r="13" spans="2:37" ht="13.5" customHeight="1">
      <c r="B13" s="154"/>
      <c r="C13" s="158"/>
      <c r="D13" s="159"/>
      <c r="E13" s="159"/>
      <c r="F13" s="160"/>
      <c r="G13" s="107">
        <f>R7</f>
        <v>1</v>
      </c>
      <c r="H13" s="108" t="s">
        <v>9</v>
      </c>
      <c r="I13" s="109">
        <f>P7</f>
        <v>7</v>
      </c>
      <c r="J13" s="107">
        <f>R9</f>
        <v>1</v>
      </c>
      <c r="K13" s="108" t="s">
        <v>9</v>
      </c>
      <c r="L13" s="109">
        <f>P9</f>
        <v>1</v>
      </c>
      <c r="M13" s="107">
        <f>R11</f>
        <v>0</v>
      </c>
      <c r="N13" s="108" t="s">
        <v>9</v>
      </c>
      <c r="O13" s="108">
        <f>P11</f>
        <v>1</v>
      </c>
      <c r="P13" s="107"/>
      <c r="Q13" s="108"/>
      <c r="R13" s="109"/>
      <c r="S13" s="180"/>
      <c r="T13" s="178"/>
      <c r="U13" s="178"/>
      <c r="V13" s="178"/>
      <c r="W13" s="178"/>
      <c r="X13" s="178"/>
      <c r="Y13" s="146"/>
      <c r="AA13" s="142"/>
      <c r="AB13" s="142"/>
      <c r="AC13" s="142"/>
      <c r="AD13" s="142"/>
      <c r="AE13" s="142"/>
      <c r="AF13" s="142"/>
      <c r="AG13" s="142"/>
      <c r="AI13" s="142"/>
      <c r="AJ13" s="142"/>
      <c r="AK13" s="142"/>
    </row>
    <row r="14" spans="3:37" ht="13.5" customHeight="1"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16"/>
      <c r="Q14" s="16"/>
      <c r="R14" s="16"/>
      <c r="S14" s="14"/>
      <c r="T14" s="14"/>
      <c r="U14" s="14"/>
      <c r="V14" s="14"/>
      <c r="W14" s="29"/>
      <c r="X14" s="29"/>
      <c r="Y14" s="14"/>
      <c r="AA14" s="26"/>
      <c r="AB14" s="26"/>
      <c r="AI14" s="18"/>
      <c r="AJ14" s="18"/>
      <c r="AK14" s="18"/>
    </row>
    <row r="15" spans="2:37" ht="27" customHeight="1">
      <c r="B15" s="147" t="s">
        <v>96</v>
      </c>
      <c r="C15" s="148"/>
      <c r="D15" s="148"/>
      <c r="E15" s="148"/>
      <c r="F15" s="149"/>
      <c r="G15" s="150" t="str">
        <f>C16</f>
        <v>西淡SSS</v>
      </c>
      <c r="H15" s="151"/>
      <c r="I15" s="152"/>
      <c r="J15" s="150" t="str">
        <f>C18</f>
        <v>五色FC</v>
      </c>
      <c r="K15" s="151"/>
      <c r="L15" s="152"/>
      <c r="M15" s="150" t="str">
        <f>C20</f>
        <v>Awaji</v>
      </c>
      <c r="N15" s="151"/>
      <c r="O15" s="152"/>
      <c r="P15" s="33"/>
      <c r="Q15" s="33"/>
      <c r="R15" s="34"/>
      <c r="S15" s="89" t="s">
        <v>1</v>
      </c>
      <c r="T15" s="89" t="s">
        <v>2</v>
      </c>
      <c r="U15" s="89" t="s">
        <v>15</v>
      </c>
      <c r="V15" s="89" t="s">
        <v>10</v>
      </c>
      <c r="W15" s="13" t="s">
        <v>3</v>
      </c>
      <c r="X15" s="13" t="s">
        <v>4</v>
      </c>
      <c r="Y15" s="89" t="s">
        <v>5</v>
      </c>
      <c r="Z15" s="88"/>
      <c r="AA15" s="87"/>
      <c r="AB15" s="87"/>
      <c r="AI15" s="18"/>
      <c r="AJ15" s="18"/>
      <c r="AK15" s="18"/>
    </row>
    <row r="16" spans="2:37" ht="13.5" customHeight="1">
      <c r="B16" s="153" t="s">
        <v>77</v>
      </c>
      <c r="C16" s="155" t="s">
        <v>127</v>
      </c>
      <c r="D16" s="156"/>
      <c r="E16" s="156"/>
      <c r="F16" s="157"/>
      <c r="G16" s="104"/>
      <c r="H16" s="105">
        <f>IF(G17="","",IF(G17&gt;I17,"○",IF(G17&lt;I17,"●","△")))</f>
      </c>
      <c r="I16" s="106"/>
      <c r="J16" s="104"/>
      <c r="K16" s="105" t="str">
        <f>IF(J17="","",IF(J17&gt;L17,"○",IF(J17&lt;L17,"●","△")))</f>
        <v>●</v>
      </c>
      <c r="L16" s="106"/>
      <c r="M16" s="104"/>
      <c r="N16" s="105" t="str">
        <f>IF(M17="","",IF(M17&gt;O17,"○",IF(M17&lt;O17,"●","△")))</f>
        <v>●</v>
      </c>
      <c r="O16" s="106"/>
      <c r="P16" s="114"/>
      <c r="Q16" s="114"/>
      <c r="R16" s="115"/>
      <c r="S16" s="143">
        <f>AA16</f>
        <v>0</v>
      </c>
      <c r="T16" s="143">
        <f>AB16</f>
        <v>0</v>
      </c>
      <c r="U16" s="143">
        <f>AC16</f>
        <v>2</v>
      </c>
      <c r="V16" s="143">
        <f>G17+J17+M17</f>
        <v>6</v>
      </c>
      <c r="W16" s="143">
        <f>G17+J17+M17-I17-L17-O17</f>
        <v>-4</v>
      </c>
      <c r="X16" s="143">
        <f>3*S16+T16</f>
        <v>0</v>
      </c>
      <c r="Y16" s="145">
        <f>RANK(AG16,$AG$16:$AG$21,1)</f>
        <v>3</v>
      </c>
      <c r="Z16" s="88"/>
      <c r="AA16" s="142">
        <f>COUNTIF($H16:$Q16,"○")</f>
        <v>0</v>
      </c>
      <c r="AB16" s="142">
        <f>COUNTIF($H16:$Q16,"△")</f>
        <v>0</v>
      </c>
      <c r="AC16" s="142">
        <f>COUNTIF($G16:$Q16,"●")</f>
        <v>2</v>
      </c>
      <c r="AD16" s="142">
        <f>100*RANK(X16,$X$16:$X$21,0)</f>
        <v>300</v>
      </c>
      <c r="AE16" s="142">
        <f>10*RANK(W16,$W$16:$W$21,0)</f>
        <v>20</v>
      </c>
      <c r="AF16" s="142">
        <f>RANK(V16,$V$16:$V$21,0)</f>
        <v>2</v>
      </c>
      <c r="AG16" s="142">
        <f>SUM(AD16:AF16)</f>
        <v>322</v>
      </c>
      <c r="AI16" s="142">
        <f>Y16</f>
        <v>3</v>
      </c>
      <c r="AJ16" s="142" t="str">
        <f>C16</f>
        <v>西淡SSS</v>
      </c>
      <c r="AK16" s="18"/>
    </row>
    <row r="17" spans="2:37" ht="13.5" customHeight="1">
      <c r="B17" s="154"/>
      <c r="C17" s="158"/>
      <c r="D17" s="159"/>
      <c r="E17" s="159"/>
      <c r="F17" s="160"/>
      <c r="G17" s="107"/>
      <c r="H17" s="108"/>
      <c r="I17" s="109"/>
      <c r="J17" s="110">
        <v>3</v>
      </c>
      <c r="K17" s="108" t="s">
        <v>52</v>
      </c>
      <c r="L17" s="111">
        <v>4</v>
      </c>
      <c r="M17" s="110">
        <v>3</v>
      </c>
      <c r="N17" s="108" t="s">
        <v>52</v>
      </c>
      <c r="O17" s="111">
        <v>6</v>
      </c>
      <c r="P17" s="116"/>
      <c r="Q17" s="117"/>
      <c r="R17" s="118"/>
      <c r="S17" s="144"/>
      <c r="T17" s="144"/>
      <c r="U17" s="144"/>
      <c r="V17" s="144"/>
      <c r="W17" s="144"/>
      <c r="X17" s="144"/>
      <c r="Y17" s="146"/>
      <c r="Z17" s="88"/>
      <c r="AA17" s="142"/>
      <c r="AB17" s="142"/>
      <c r="AC17" s="142"/>
      <c r="AD17" s="142"/>
      <c r="AE17" s="142"/>
      <c r="AF17" s="142"/>
      <c r="AG17" s="142"/>
      <c r="AI17" s="142"/>
      <c r="AJ17" s="142"/>
      <c r="AK17" s="18"/>
    </row>
    <row r="18" spans="2:37" ht="13.5" customHeight="1">
      <c r="B18" s="153" t="s">
        <v>78</v>
      </c>
      <c r="C18" s="155" t="s">
        <v>128</v>
      </c>
      <c r="D18" s="156"/>
      <c r="E18" s="156"/>
      <c r="F18" s="157"/>
      <c r="G18" s="104"/>
      <c r="H18" s="105" t="str">
        <f>IF(G19="","",IF(G19&gt;I19,"○",IF(G19&lt;I19,"●","△")))</f>
        <v>○</v>
      </c>
      <c r="I18" s="106"/>
      <c r="J18" s="104"/>
      <c r="K18" s="105">
        <f>IF(J19="","",IF(J19&gt;L19,"○",IF(J19&lt;L19,"●","△")))</f>
      </c>
      <c r="L18" s="106"/>
      <c r="M18" s="104"/>
      <c r="N18" s="105" t="str">
        <f>IF(M19="","",IF(M19&gt;O19,"○",IF(M19&lt;O19,"●","△")))</f>
        <v>●</v>
      </c>
      <c r="O18" s="106"/>
      <c r="P18" s="114"/>
      <c r="Q18" s="114"/>
      <c r="R18" s="115"/>
      <c r="S18" s="143">
        <f>AA18</f>
        <v>1</v>
      </c>
      <c r="T18" s="143">
        <f>AB18</f>
        <v>0</v>
      </c>
      <c r="U18" s="143">
        <f>AC18</f>
        <v>1</v>
      </c>
      <c r="V18" s="143">
        <f>G19+J19+M19</f>
        <v>5</v>
      </c>
      <c r="W18" s="143">
        <f>G19+J19+M19-I19-L19-O19</f>
        <v>-5</v>
      </c>
      <c r="X18" s="143">
        <f>3*S18+T18</f>
        <v>3</v>
      </c>
      <c r="Y18" s="145">
        <f>RANK(AG18,$AG$16:$AG$21,1)</f>
        <v>2</v>
      </c>
      <c r="Z18" s="88"/>
      <c r="AA18" s="142">
        <f>COUNTIF($H18:$Q18,"○")</f>
        <v>1</v>
      </c>
      <c r="AB18" s="142">
        <f>COUNTIF($H18:$Q18,"△")</f>
        <v>0</v>
      </c>
      <c r="AC18" s="142">
        <f>COUNTIF($G18:$Q18,"●")</f>
        <v>1</v>
      </c>
      <c r="AD18" s="142">
        <f>100*RANK(X18,$X$16:$X$21,0)</f>
        <v>200</v>
      </c>
      <c r="AE18" s="142">
        <f>10*RANK(W18,$W16:$W21,0)</f>
        <v>30</v>
      </c>
      <c r="AF18" s="142">
        <f>RANK(V18,$V$16:$V$21,0)</f>
        <v>3</v>
      </c>
      <c r="AG18" s="142">
        <f>SUM(AD18:AF18)</f>
        <v>233</v>
      </c>
      <c r="AI18" s="142">
        <f>Y18</f>
        <v>2</v>
      </c>
      <c r="AJ18" s="142" t="str">
        <f>C18</f>
        <v>五色FC</v>
      </c>
      <c r="AK18" s="18"/>
    </row>
    <row r="19" spans="2:37" ht="13.5" customHeight="1">
      <c r="B19" s="154"/>
      <c r="C19" s="158"/>
      <c r="D19" s="159"/>
      <c r="E19" s="159"/>
      <c r="F19" s="160"/>
      <c r="G19" s="107">
        <f>L17</f>
        <v>4</v>
      </c>
      <c r="H19" s="108" t="s">
        <v>9</v>
      </c>
      <c r="I19" s="109">
        <f>J17</f>
        <v>3</v>
      </c>
      <c r="J19" s="107"/>
      <c r="K19" s="108"/>
      <c r="L19" s="109"/>
      <c r="M19" s="110">
        <v>1</v>
      </c>
      <c r="N19" s="108" t="s">
        <v>52</v>
      </c>
      <c r="O19" s="111">
        <v>7</v>
      </c>
      <c r="P19" s="116"/>
      <c r="Q19" s="117"/>
      <c r="R19" s="118"/>
      <c r="S19" s="144"/>
      <c r="T19" s="144"/>
      <c r="U19" s="144"/>
      <c r="V19" s="144"/>
      <c r="W19" s="144"/>
      <c r="X19" s="144"/>
      <c r="Y19" s="146"/>
      <c r="Z19" s="88"/>
      <c r="AA19" s="142"/>
      <c r="AB19" s="142"/>
      <c r="AC19" s="142"/>
      <c r="AD19" s="142"/>
      <c r="AE19" s="142"/>
      <c r="AF19" s="142"/>
      <c r="AG19" s="142"/>
      <c r="AI19" s="142"/>
      <c r="AJ19" s="142"/>
      <c r="AK19" s="18"/>
    </row>
    <row r="20" spans="2:37" ht="13.5" customHeight="1">
      <c r="B20" s="153" t="s">
        <v>79</v>
      </c>
      <c r="C20" s="155" t="s">
        <v>129</v>
      </c>
      <c r="D20" s="156"/>
      <c r="E20" s="156"/>
      <c r="F20" s="157"/>
      <c r="G20" s="104"/>
      <c r="H20" s="105" t="str">
        <f>IF(G21="","",IF(G21&gt;I21,"○",IF(G21&lt;I21,"●","△")))</f>
        <v>○</v>
      </c>
      <c r="I20" s="106"/>
      <c r="J20" s="104"/>
      <c r="K20" s="105" t="str">
        <f>IF(J21="","",IF(J21&gt;L21,"○",IF(J21&lt;L21,"●","△")))</f>
        <v>○</v>
      </c>
      <c r="L20" s="106"/>
      <c r="M20" s="104"/>
      <c r="N20" s="105">
        <f>IF(M21="","",IF(M21&gt;O21,"○",IF(M21&lt;O21,"●","△")))</f>
      </c>
      <c r="O20" s="106"/>
      <c r="P20" s="114"/>
      <c r="Q20" s="114"/>
      <c r="R20" s="115"/>
      <c r="S20" s="143">
        <f>AA20</f>
        <v>2</v>
      </c>
      <c r="T20" s="143">
        <f>AB20</f>
        <v>0</v>
      </c>
      <c r="U20" s="143">
        <f>AC20</f>
        <v>0</v>
      </c>
      <c r="V20" s="143">
        <f>G21+J21+M21</f>
        <v>13</v>
      </c>
      <c r="W20" s="143">
        <f>G21+J21+M21-I21-L21-O21</f>
        <v>9</v>
      </c>
      <c r="X20" s="143">
        <f>3*S20+T20</f>
        <v>6</v>
      </c>
      <c r="Y20" s="145">
        <f>RANK(AG20,$AG$16:$AG$21,1)</f>
        <v>1</v>
      </c>
      <c r="Z20" s="88"/>
      <c r="AA20" s="142">
        <f>COUNTIF($H20:$Q20,"○")</f>
        <v>2</v>
      </c>
      <c r="AB20" s="142">
        <f>COUNTIF($H20:$Q20,"△")</f>
        <v>0</v>
      </c>
      <c r="AC20" s="142">
        <f>COUNTIF($G20:$Q20,"●")</f>
        <v>0</v>
      </c>
      <c r="AD20" s="142">
        <f>100*RANK(X20,$X$16:$X$21,0)</f>
        <v>100</v>
      </c>
      <c r="AE20" s="142">
        <f>10*RANK(W20,$W16:$W21,0)</f>
        <v>10</v>
      </c>
      <c r="AF20" s="142">
        <f>RANK(V20,$V$16:$V$21,0)</f>
        <v>1</v>
      </c>
      <c r="AG20" s="142">
        <f>SUM(AD20:AF20)</f>
        <v>111</v>
      </c>
      <c r="AI20" s="142">
        <f>Y20</f>
        <v>1</v>
      </c>
      <c r="AJ20" s="142" t="str">
        <f>C20</f>
        <v>Awaji</v>
      </c>
      <c r="AK20" s="18"/>
    </row>
    <row r="21" spans="2:37" ht="13.5" customHeight="1">
      <c r="B21" s="154"/>
      <c r="C21" s="158"/>
      <c r="D21" s="159"/>
      <c r="E21" s="159"/>
      <c r="F21" s="160"/>
      <c r="G21" s="107">
        <f>O17</f>
        <v>6</v>
      </c>
      <c r="H21" s="108" t="s">
        <v>9</v>
      </c>
      <c r="I21" s="109">
        <f>M17</f>
        <v>3</v>
      </c>
      <c r="J21" s="107">
        <f>O19</f>
        <v>7</v>
      </c>
      <c r="K21" s="108" t="s">
        <v>9</v>
      </c>
      <c r="L21" s="109">
        <f>M19</f>
        <v>1</v>
      </c>
      <c r="M21" s="107"/>
      <c r="N21" s="108"/>
      <c r="O21" s="109"/>
      <c r="P21" s="116"/>
      <c r="Q21" s="117"/>
      <c r="R21" s="118"/>
      <c r="S21" s="144"/>
      <c r="T21" s="144"/>
      <c r="U21" s="144"/>
      <c r="V21" s="144"/>
      <c r="W21" s="144"/>
      <c r="X21" s="144"/>
      <c r="Y21" s="146"/>
      <c r="Z21" s="88"/>
      <c r="AA21" s="142"/>
      <c r="AB21" s="142"/>
      <c r="AC21" s="142"/>
      <c r="AD21" s="142"/>
      <c r="AE21" s="142"/>
      <c r="AF21" s="142"/>
      <c r="AG21" s="142"/>
      <c r="AI21" s="142"/>
      <c r="AJ21" s="142"/>
      <c r="AK21" s="18"/>
    </row>
    <row r="22" spans="3:37" ht="13.5" customHeight="1">
      <c r="C22" s="27"/>
      <c r="D22" s="27"/>
      <c r="E22" s="27"/>
      <c r="F22" s="27"/>
      <c r="G22" s="91"/>
      <c r="H22" s="91"/>
      <c r="I22" s="91"/>
      <c r="J22" s="91"/>
      <c r="K22" s="91"/>
      <c r="L22" s="91"/>
      <c r="M22" s="91"/>
      <c r="N22" s="91"/>
      <c r="O22" s="91"/>
      <c r="P22" s="90"/>
      <c r="Q22" s="90"/>
      <c r="R22" s="90"/>
      <c r="S22" s="14"/>
      <c r="T22" s="14"/>
      <c r="U22" s="14"/>
      <c r="V22" s="14"/>
      <c r="W22" s="29"/>
      <c r="X22" s="29"/>
      <c r="Y22" s="14"/>
      <c r="Z22" s="88"/>
      <c r="AA22" s="87"/>
      <c r="AB22" s="87"/>
      <c r="AI22" s="18"/>
      <c r="AJ22" s="18"/>
      <c r="AK22" s="18"/>
    </row>
    <row r="23" spans="2:37" ht="27" customHeight="1">
      <c r="B23" s="147" t="s">
        <v>97</v>
      </c>
      <c r="C23" s="148"/>
      <c r="D23" s="148"/>
      <c r="E23" s="148"/>
      <c r="F23" s="149"/>
      <c r="G23" s="150" t="str">
        <f>C24</f>
        <v>ダイナマイト</v>
      </c>
      <c r="H23" s="151"/>
      <c r="I23" s="152"/>
      <c r="J23" s="150" t="str">
        <f>C26</f>
        <v>洲本FC</v>
      </c>
      <c r="K23" s="151"/>
      <c r="L23" s="152"/>
      <c r="M23" s="150" t="str">
        <f>C28</f>
        <v>北淡FC</v>
      </c>
      <c r="N23" s="151"/>
      <c r="O23" s="152"/>
      <c r="P23" s="33"/>
      <c r="Q23" s="33"/>
      <c r="R23" s="34"/>
      <c r="S23" s="89" t="s">
        <v>1</v>
      </c>
      <c r="T23" s="89" t="s">
        <v>2</v>
      </c>
      <c r="U23" s="89" t="s">
        <v>15</v>
      </c>
      <c r="V23" s="89" t="s">
        <v>10</v>
      </c>
      <c r="W23" s="13" t="s">
        <v>3</v>
      </c>
      <c r="X23" s="13" t="s">
        <v>4</v>
      </c>
      <c r="Y23" s="89" t="s">
        <v>5</v>
      </c>
      <c r="Z23" s="88"/>
      <c r="AI23" s="18"/>
      <c r="AJ23" s="18"/>
      <c r="AK23" s="18"/>
    </row>
    <row r="24" spans="2:37" ht="13.5" customHeight="1">
      <c r="B24" s="153" t="s">
        <v>74</v>
      </c>
      <c r="C24" s="155" t="s">
        <v>124</v>
      </c>
      <c r="D24" s="156"/>
      <c r="E24" s="156"/>
      <c r="F24" s="157"/>
      <c r="G24" s="104"/>
      <c r="H24" s="105">
        <f>IF(G25="","",IF(G25&gt;I25,"○",IF(G25&lt;I25,"●","△")))</f>
      </c>
      <c r="I24" s="106"/>
      <c r="J24" s="104"/>
      <c r="K24" s="105" t="str">
        <f>IF(J25="","",IF(J25&gt;L25,"○",IF(J25&lt;L25,"●","△")))</f>
        <v>○</v>
      </c>
      <c r="L24" s="106"/>
      <c r="M24" s="104"/>
      <c r="N24" s="105" t="str">
        <f>IF(M25="","",IF(M25&gt;O25,"○",IF(M25&lt;O25,"●","△")))</f>
        <v>○</v>
      </c>
      <c r="O24" s="106"/>
      <c r="P24" s="114"/>
      <c r="Q24" s="114"/>
      <c r="R24" s="115"/>
      <c r="S24" s="143">
        <f>AA24</f>
        <v>2</v>
      </c>
      <c r="T24" s="143">
        <f>AB24</f>
        <v>0</v>
      </c>
      <c r="U24" s="143">
        <f>AC24</f>
        <v>0</v>
      </c>
      <c r="V24" s="143">
        <f>G25+J25+M25</f>
        <v>5</v>
      </c>
      <c r="W24" s="143">
        <f>G25+J25+M25+-I25-L25-O25</f>
        <v>4</v>
      </c>
      <c r="X24" s="143">
        <f>3*S24+T24</f>
        <v>6</v>
      </c>
      <c r="Y24" s="145">
        <f>RANK(AG24,$AG$24:$AG$29,1)</f>
        <v>1</v>
      </c>
      <c r="Z24" s="88"/>
      <c r="AA24" s="142">
        <f>COUNTIF($H24:$Q24,"○")</f>
        <v>2</v>
      </c>
      <c r="AB24" s="142">
        <f>COUNTIF($H24:$Q24,"△")</f>
        <v>0</v>
      </c>
      <c r="AC24" s="142">
        <f>COUNTIF($G24:$Q24,"●")</f>
        <v>0</v>
      </c>
      <c r="AD24" s="142">
        <f>100*RANK(X24,$X$24:$X$29,0)</f>
        <v>100</v>
      </c>
      <c r="AE24" s="142">
        <f>10*RANK(W24,$W$24:$W$29,0)</f>
        <v>10</v>
      </c>
      <c r="AF24" s="142">
        <f>RANK(V24,$V24:$V29,0)</f>
        <v>2</v>
      </c>
      <c r="AG24" s="142">
        <f>SUM(AD24:AF24)</f>
        <v>112</v>
      </c>
      <c r="AI24" s="142">
        <f>Y24</f>
        <v>1</v>
      </c>
      <c r="AJ24" s="142" t="str">
        <f>C24</f>
        <v>ダイナマイト</v>
      </c>
      <c r="AK24" s="18"/>
    </row>
    <row r="25" spans="2:37" ht="13.5" customHeight="1">
      <c r="B25" s="154"/>
      <c r="C25" s="158"/>
      <c r="D25" s="159"/>
      <c r="E25" s="159"/>
      <c r="F25" s="160"/>
      <c r="G25" s="107"/>
      <c r="H25" s="108"/>
      <c r="I25" s="109"/>
      <c r="J25" s="110">
        <v>3</v>
      </c>
      <c r="K25" s="108" t="s">
        <v>52</v>
      </c>
      <c r="L25" s="111">
        <v>0</v>
      </c>
      <c r="M25" s="110">
        <v>2</v>
      </c>
      <c r="N25" s="108" t="s">
        <v>52</v>
      </c>
      <c r="O25" s="111">
        <v>1</v>
      </c>
      <c r="P25" s="116"/>
      <c r="Q25" s="117"/>
      <c r="R25" s="118"/>
      <c r="S25" s="144"/>
      <c r="T25" s="144"/>
      <c r="U25" s="144"/>
      <c r="V25" s="144"/>
      <c r="W25" s="144"/>
      <c r="X25" s="144"/>
      <c r="Y25" s="146"/>
      <c r="Z25" s="88"/>
      <c r="AA25" s="142"/>
      <c r="AB25" s="142"/>
      <c r="AC25" s="142"/>
      <c r="AD25" s="142"/>
      <c r="AE25" s="142"/>
      <c r="AF25" s="142"/>
      <c r="AG25" s="142"/>
      <c r="AI25" s="142"/>
      <c r="AJ25" s="142"/>
      <c r="AK25" s="18"/>
    </row>
    <row r="26" spans="2:37" ht="13.5" customHeight="1">
      <c r="B26" s="153" t="s">
        <v>75</v>
      </c>
      <c r="C26" s="155" t="s">
        <v>125</v>
      </c>
      <c r="D26" s="156"/>
      <c r="E26" s="156"/>
      <c r="F26" s="157"/>
      <c r="G26" s="104"/>
      <c r="H26" s="105" t="str">
        <f>IF(G27="","",IF(G27&gt;I27,"○",IF(G27&lt;I27,"●","△")))</f>
        <v>●</v>
      </c>
      <c r="I26" s="106"/>
      <c r="J26" s="104"/>
      <c r="K26" s="105">
        <f>IF(J27="","",IF(J27&gt;L27,"○",IF(J27&lt;L27,"●","△")))</f>
      </c>
      <c r="L26" s="106"/>
      <c r="M26" s="104"/>
      <c r="N26" s="105" t="str">
        <f>IF(M27="","",IF(M27&gt;O27,"○",IF(M27&lt;O27,"●","△")))</f>
        <v>○</v>
      </c>
      <c r="O26" s="106"/>
      <c r="P26" s="114"/>
      <c r="Q26" s="114"/>
      <c r="R26" s="115"/>
      <c r="S26" s="143">
        <f>AA26</f>
        <v>1</v>
      </c>
      <c r="T26" s="143">
        <f>AB26</f>
        <v>0</v>
      </c>
      <c r="U26" s="143">
        <f>AC26</f>
        <v>1</v>
      </c>
      <c r="V26" s="143">
        <f>G27+J27+M27</f>
        <v>6</v>
      </c>
      <c r="W26" s="143">
        <f>G27+J27+M27+-I27-L27-O27</f>
        <v>1</v>
      </c>
      <c r="X26" s="143">
        <f>3*S26+T26</f>
        <v>3</v>
      </c>
      <c r="Y26" s="145">
        <f>RANK(AG26,$AG$24:$AG$29,1)</f>
        <v>2</v>
      </c>
      <c r="Z26" s="88"/>
      <c r="AA26" s="142">
        <f>COUNTIF($H26:$Q26,"○")</f>
        <v>1</v>
      </c>
      <c r="AB26" s="142">
        <f>COUNTIF($H26:$Q26,"△")</f>
        <v>0</v>
      </c>
      <c r="AC26" s="142">
        <f>COUNTIF($G26:$Q26,"●")</f>
        <v>1</v>
      </c>
      <c r="AD26" s="142">
        <f>100*RANK(X26,$X$24:$X$29,0)</f>
        <v>200</v>
      </c>
      <c r="AE26" s="142">
        <f>10*RANK(W26,$W$24:$W$29,0)</f>
        <v>20</v>
      </c>
      <c r="AF26" s="142">
        <f>RANK(V26,$V24:$V29,0)</f>
        <v>1</v>
      </c>
      <c r="AG26" s="142">
        <f>SUM(AD26:AF26)</f>
        <v>221</v>
      </c>
      <c r="AI26" s="142">
        <f>Y26</f>
        <v>2</v>
      </c>
      <c r="AJ26" s="142" t="str">
        <f>C26</f>
        <v>洲本FC</v>
      </c>
      <c r="AK26" s="18"/>
    </row>
    <row r="27" spans="2:37" ht="13.5" customHeight="1">
      <c r="B27" s="154"/>
      <c r="C27" s="158"/>
      <c r="D27" s="159"/>
      <c r="E27" s="159"/>
      <c r="F27" s="160"/>
      <c r="G27" s="107">
        <f>L25</f>
        <v>0</v>
      </c>
      <c r="H27" s="108" t="s">
        <v>9</v>
      </c>
      <c r="I27" s="109">
        <f>J25</f>
        <v>3</v>
      </c>
      <c r="J27" s="107"/>
      <c r="K27" s="108"/>
      <c r="L27" s="109"/>
      <c r="M27" s="110">
        <v>6</v>
      </c>
      <c r="N27" s="108" t="s">
        <v>52</v>
      </c>
      <c r="O27" s="111">
        <v>2</v>
      </c>
      <c r="P27" s="116"/>
      <c r="Q27" s="117"/>
      <c r="R27" s="118"/>
      <c r="S27" s="144"/>
      <c r="T27" s="144"/>
      <c r="U27" s="144"/>
      <c r="V27" s="144"/>
      <c r="W27" s="144"/>
      <c r="X27" s="144"/>
      <c r="Y27" s="146"/>
      <c r="Z27" s="88"/>
      <c r="AA27" s="142"/>
      <c r="AB27" s="142"/>
      <c r="AC27" s="142"/>
      <c r="AD27" s="142"/>
      <c r="AE27" s="142"/>
      <c r="AF27" s="142"/>
      <c r="AG27" s="142"/>
      <c r="AI27" s="142"/>
      <c r="AJ27" s="142"/>
      <c r="AK27" s="18"/>
    </row>
    <row r="28" spans="2:37" ht="13.5" customHeight="1">
      <c r="B28" s="153" t="s">
        <v>76</v>
      </c>
      <c r="C28" s="155" t="s">
        <v>126</v>
      </c>
      <c r="D28" s="156"/>
      <c r="E28" s="156"/>
      <c r="F28" s="157"/>
      <c r="G28" s="104"/>
      <c r="H28" s="105" t="str">
        <f>IF(G29="","",IF(G29&gt;I29,"○",IF(G29&lt;I29,"●","△")))</f>
        <v>●</v>
      </c>
      <c r="I28" s="106"/>
      <c r="J28" s="104"/>
      <c r="K28" s="105" t="str">
        <f>IF(J29="","",IF(J29&gt;L29,"○",IF(J29&lt;L29,"●","△")))</f>
        <v>●</v>
      </c>
      <c r="L28" s="106"/>
      <c r="M28" s="104"/>
      <c r="N28" s="105">
        <f>IF(M29="","",IF(M29&gt;O29,"○",IF(M29&lt;O29,"●","△")))</f>
      </c>
      <c r="O28" s="106"/>
      <c r="P28" s="114"/>
      <c r="Q28" s="114"/>
      <c r="R28" s="115"/>
      <c r="S28" s="143">
        <f>AA28</f>
        <v>0</v>
      </c>
      <c r="T28" s="143">
        <f>AB28</f>
        <v>0</v>
      </c>
      <c r="U28" s="143">
        <f>AC28</f>
        <v>2</v>
      </c>
      <c r="V28" s="143">
        <f>G29+J29+M29</f>
        <v>3</v>
      </c>
      <c r="W28" s="143">
        <f>G29+J29+M29+-I29-L29-O29</f>
        <v>-5</v>
      </c>
      <c r="X28" s="143">
        <f>3*S28+T28</f>
        <v>0</v>
      </c>
      <c r="Y28" s="145">
        <f>RANK(AG28,$AG$24:$AG$29,1)</f>
        <v>3</v>
      </c>
      <c r="Z28" s="88"/>
      <c r="AA28" s="142">
        <f>COUNTIF($H28:$Q28,"○")</f>
        <v>0</v>
      </c>
      <c r="AB28" s="142">
        <f>COUNTIF($H28:$Q28,"△")</f>
        <v>0</v>
      </c>
      <c r="AC28" s="142">
        <f>COUNTIF($G28:$Q28,"●")</f>
        <v>2</v>
      </c>
      <c r="AD28" s="142">
        <f>100*RANK(X28,$X$24:$X$29,0)</f>
        <v>300</v>
      </c>
      <c r="AE28" s="142">
        <f>10*RANK(W28,$W$24:$W$29,0)</f>
        <v>30</v>
      </c>
      <c r="AF28" s="142">
        <f>RANK(V28,$V24:$V29,0)</f>
        <v>3</v>
      </c>
      <c r="AG28" s="142">
        <f>SUM(AD28:AF28)</f>
        <v>333</v>
      </c>
      <c r="AI28" s="142">
        <f>Y28</f>
        <v>3</v>
      </c>
      <c r="AJ28" s="142" t="str">
        <f>C28</f>
        <v>北淡FC</v>
      </c>
      <c r="AK28" s="18"/>
    </row>
    <row r="29" spans="2:37" ht="13.5" customHeight="1">
      <c r="B29" s="154"/>
      <c r="C29" s="158"/>
      <c r="D29" s="159"/>
      <c r="E29" s="159"/>
      <c r="F29" s="160"/>
      <c r="G29" s="107">
        <f>O25</f>
        <v>1</v>
      </c>
      <c r="H29" s="108" t="s">
        <v>9</v>
      </c>
      <c r="I29" s="109">
        <f>M25</f>
        <v>2</v>
      </c>
      <c r="J29" s="107">
        <f>O27</f>
        <v>2</v>
      </c>
      <c r="K29" s="108" t="s">
        <v>9</v>
      </c>
      <c r="L29" s="109">
        <f>M27</f>
        <v>6</v>
      </c>
      <c r="M29" s="107"/>
      <c r="N29" s="108"/>
      <c r="O29" s="109"/>
      <c r="P29" s="116"/>
      <c r="Q29" s="117"/>
      <c r="R29" s="118"/>
      <c r="S29" s="144"/>
      <c r="T29" s="144"/>
      <c r="U29" s="144"/>
      <c r="V29" s="144"/>
      <c r="W29" s="144"/>
      <c r="X29" s="144"/>
      <c r="Y29" s="146"/>
      <c r="Z29" s="88"/>
      <c r="AA29" s="142"/>
      <c r="AB29" s="142"/>
      <c r="AC29" s="142"/>
      <c r="AD29" s="142"/>
      <c r="AE29" s="142"/>
      <c r="AF29" s="142"/>
      <c r="AG29" s="142"/>
      <c r="AI29" s="142"/>
      <c r="AJ29" s="142"/>
      <c r="AK29" s="18"/>
    </row>
    <row r="30" spans="3:37" ht="13.5" customHeight="1">
      <c r="C30" s="27"/>
      <c r="D30" s="27"/>
      <c r="E30" s="27"/>
      <c r="F30" s="27"/>
      <c r="G30" s="91"/>
      <c r="H30" s="91"/>
      <c r="I30" s="91"/>
      <c r="J30" s="91"/>
      <c r="K30" s="91"/>
      <c r="L30" s="91"/>
      <c r="M30" s="91"/>
      <c r="N30" s="91"/>
      <c r="O30" s="91"/>
      <c r="P30" s="90"/>
      <c r="Q30" s="90"/>
      <c r="R30" s="90"/>
      <c r="S30" s="14"/>
      <c r="T30" s="14"/>
      <c r="U30" s="14"/>
      <c r="V30" s="14"/>
      <c r="W30" s="29"/>
      <c r="X30" s="29"/>
      <c r="Y30" s="14"/>
      <c r="Z30" s="88"/>
      <c r="AA30" s="87"/>
      <c r="AB30" s="87"/>
      <c r="AI30" s="18"/>
      <c r="AJ30" s="18"/>
      <c r="AK30" s="18"/>
    </row>
    <row r="31" spans="2:37" ht="27" customHeight="1">
      <c r="B31" s="147" t="s">
        <v>98</v>
      </c>
      <c r="C31" s="148"/>
      <c r="D31" s="148"/>
      <c r="E31" s="148"/>
      <c r="F31" s="149"/>
      <c r="G31" s="150" t="str">
        <f>C32</f>
        <v>三原少年団</v>
      </c>
      <c r="H31" s="151"/>
      <c r="I31" s="152"/>
      <c r="J31" s="150" t="str">
        <f>C34</f>
        <v>FCシロッコ</v>
      </c>
      <c r="K31" s="151"/>
      <c r="L31" s="152"/>
      <c r="M31" s="150" t="str">
        <f>C36</f>
        <v>岩屋FC</v>
      </c>
      <c r="N31" s="151"/>
      <c r="O31" s="152"/>
      <c r="P31" s="150" t="str">
        <f>C38</f>
        <v>東浦FC</v>
      </c>
      <c r="Q31" s="151"/>
      <c r="R31" s="152"/>
      <c r="S31" s="92" t="s">
        <v>1</v>
      </c>
      <c r="T31" s="93" t="s">
        <v>2</v>
      </c>
      <c r="U31" s="93" t="s">
        <v>15</v>
      </c>
      <c r="V31" s="93" t="s">
        <v>10</v>
      </c>
      <c r="W31" s="13" t="s">
        <v>3</v>
      </c>
      <c r="X31" s="13" t="s">
        <v>4</v>
      </c>
      <c r="Y31" s="93" t="s">
        <v>5</v>
      </c>
      <c r="AA31" s="26"/>
      <c r="AB31" s="26"/>
      <c r="AI31" s="18"/>
      <c r="AJ31" s="18"/>
      <c r="AK31" s="18"/>
    </row>
    <row r="32" spans="2:37" ht="13.5" customHeight="1">
      <c r="B32" s="153" t="s">
        <v>47</v>
      </c>
      <c r="C32" s="155" t="s">
        <v>121</v>
      </c>
      <c r="D32" s="156"/>
      <c r="E32" s="156"/>
      <c r="F32" s="157"/>
      <c r="G32" s="104"/>
      <c r="H32" s="105">
        <f>IF(G33="","",IF(G33&gt;I33,"○",IF(G33&lt;I33,"●","△")))</f>
      </c>
      <c r="I32" s="106"/>
      <c r="J32" s="104"/>
      <c r="K32" s="105" t="str">
        <f>IF(J33="","",IF(J33&gt;L33,"○",IF(J33&lt;L33,"●","△")))</f>
        <v>△</v>
      </c>
      <c r="L32" s="106"/>
      <c r="M32" s="104"/>
      <c r="N32" s="105" t="str">
        <f>IF(M33="","",IF(M33&gt;O33,"○",IF(M33&lt;O33,"●","△")))</f>
        <v>○</v>
      </c>
      <c r="O32" s="105"/>
      <c r="P32" s="104"/>
      <c r="Q32" s="105" t="str">
        <f>IF(P33="","",IF(P33&gt;R33,"○",IF(P33&lt;R33,"●","△")))</f>
        <v>○</v>
      </c>
      <c r="R32" s="106"/>
      <c r="S32" s="179">
        <f>AA32</f>
        <v>2</v>
      </c>
      <c r="T32" s="177">
        <f>AB32</f>
        <v>1</v>
      </c>
      <c r="U32" s="177">
        <f>AC32</f>
        <v>0</v>
      </c>
      <c r="V32" s="177">
        <f>G33+J33+M33+P33</f>
        <v>13</v>
      </c>
      <c r="W32" s="177">
        <f>G33+J33+M33+P33-I33-L33-O33-R33</f>
        <v>8</v>
      </c>
      <c r="X32" s="177">
        <f>3*S32+T32</f>
        <v>7</v>
      </c>
      <c r="Y32" s="145">
        <f>RANK(AG32,$AG$32:$AG$39,1)</f>
        <v>1</v>
      </c>
      <c r="AA32" s="142">
        <f>COUNTIF($H32:$Q32,"○")</f>
        <v>2</v>
      </c>
      <c r="AB32" s="142">
        <f>COUNTIF($H32:$Q32,"△")</f>
        <v>1</v>
      </c>
      <c r="AC32" s="142">
        <f>COUNTIF($G32:$Q32,"●")</f>
        <v>0</v>
      </c>
      <c r="AD32" s="142">
        <f>100*RANK(X32,$X$32:$X$39,0)</f>
        <v>100</v>
      </c>
      <c r="AE32" s="142">
        <f>10*RANK(W32,$W$32:$W$39,0)</f>
        <v>10</v>
      </c>
      <c r="AF32" s="142">
        <f>RANK(V32,$V$32:$V$39,0)</f>
        <v>1</v>
      </c>
      <c r="AG32" s="142">
        <f>SUM(AD32:AF32)</f>
        <v>111</v>
      </c>
      <c r="AI32" s="142">
        <f>Y32</f>
        <v>1</v>
      </c>
      <c r="AJ32" s="142" t="str">
        <f>C32</f>
        <v>三原少年団</v>
      </c>
      <c r="AK32" s="142"/>
    </row>
    <row r="33" spans="2:37" ht="13.5" customHeight="1">
      <c r="B33" s="154"/>
      <c r="C33" s="158"/>
      <c r="D33" s="159"/>
      <c r="E33" s="159"/>
      <c r="F33" s="160"/>
      <c r="G33" s="107"/>
      <c r="H33" s="108"/>
      <c r="I33" s="109"/>
      <c r="J33" s="110">
        <v>3</v>
      </c>
      <c r="K33" s="108" t="s">
        <v>52</v>
      </c>
      <c r="L33" s="111">
        <v>3</v>
      </c>
      <c r="M33" s="110">
        <v>4</v>
      </c>
      <c r="N33" s="108" t="s">
        <v>52</v>
      </c>
      <c r="O33" s="112">
        <v>1</v>
      </c>
      <c r="P33" s="110">
        <v>6</v>
      </c>
      <c r="Q33" s="108" t="s">
        <v>52</v>
      </c>
      <c r="R33" s="111">
        <v>1</v>
      </c>
      <c r="S33" s="180"/>
      <c r="T33" s="178"/>
      <c r="U33" s="178"/>
      <c r="V33" s="178"/>
      <c r="W33" s="178"/>
      <c r="X33" s="178"/>
      <c r="Y33" s="146"/>
      <c r="AA33" s="142"/>
      <c r="AB33" s="142"/>
      <c r="AC33" s="142"/>
      <c r="AD33" s="142"/>
      <c r="AE33" s="142"/>
      <c r="AF33" s="142"/>
      <c r="AG33" s="142"/>
      <c r="AI33" s="142"/>
      <c r="AJ33" s="142"/>
      <c r="AK33" s="142"/>
    </row>
    <row r="34" spans="2:37" ht="13.5" customHeight="1">
      <c r="B34" s="153" t="s">
        <v>48</v>
      </c>
      <c r="C34" s="155" t="s">
        <v>131</v>
      </c>
      <c r="D34" s="156"/>
      <c r="E34" s="156"/>
      <c r="F34" s="157"/>
      <c r="G34" s="104"/>
      <c r="H34" s="105" t="str">
        <f>IF(G35="","",IF(G35&gt;I35,"○",IF(G35&lt;I35,"●","△")))</f>
        <v>△</v>
      </c>
      <c r="I34" s="106"/>
      <c r="J34" s="104"/>
      <c r="K34" s="105">
        <f>IF(J35="","",IF(J35&gt;L35,"○",IF(J35&lt;L35,"●","△")))</f>
      </c>
      <c r="L34" s="106"/>
      <c r="M34" s="104"/>
      <c r="N34" s="105" t="str">
        <f>IF(M35="","",IF(M35&gt;O35,"○",IF(M35&lt;O35,"●","△")))</f>
        <v>○</v>
      </c>
      <c r="O34" s="105"/>
      <c r="P34" s="104"/>
      <c r="Q34" s="105" t="str">
        <f>IF(P35="","",IF(P35&gt;R35,"○",IF(P35&lt;R35,"●","△")))</f>
        <v>○</v>
      </c>
      <c r="R34" s="106"/>
      <c r="S34" s="179">
        <f>AA34</f>
        <v>2</v>
      </c>
      <c r="T34" s="177">
        <f>AB34</f>
        <v>1</v>
      </c>
      <c r="U34" s="177">
        <f>AC34</f>
        <v>0</v>
      </c>
      <c r="V34" s="177">
        <f>G35+J35+M35+P35</f>
        <v>12</v>
      </c>
      <c r="W34" s="177">
        <f>G35+J35+M35+P35-I35-L35-O35-R35</f>
        <v>8</v>
      </c>
      <c r="X34" s="177">
        <f>3*S34+T34</f>
        <v>7</v>
      </c>
      <c r="Y34" s="145">
        <f>RANK(AG34,$AG$32:$AG$39,1)</f>
        <v>2</v>
      </c>
      <c r="AA34" s="142">
        <f>COUNTIF($H34:$Q34,"○")</f>
        <v>2</v>
      </c>
      <c r="AB34" s="142">
        <f>COUNTIF($H34:$Q34,"△")</f>
        <v>1</v>
      </c>
      <c r="AC34" s="142">
        <f>COUNTIF($G34:$Q34,"●")</f>
        <v>0</v>
      </c>
      <c r="AD34" s="142">
        <f>100*RANK(X34,$X$32:$X$39,0)</f>
        <v>100</v>
      </c>
      <c r="AE34" s="142">
        <f>10*RANK(W34,$W$32:$W$39,0)</f>
        <v>10</v>
      </c>
      <c r="AF34" s="142">
        <f>RANK(V34,$V$32:$V$39,0)</f>
        <v>2</v>
      </c>
      <c r="AG34" s="142">
        <f>SUM(AD34:AF34)</f>
        <v>112</v>
      </c>
      <c r="AI34" s="142">
        <f>Y34</f>
        <v>2</v>
      </c>
      <c r="AJ34" s="142" t="str">
        <f>C34</f>
        <v>FCシロッコ</v>
      </c>
      <c r="AK34" s="142"/>
    </row>
    <row r="35" spans="2:37" ht="13.5" customHeight="1">
      <c r="B35" s="154"/>
      <c r="C35" s="158"/>
      <c r="D35" s="159"/>
      <c r="E35" s="159"/>
      <c r="F35" s="160"/>
      <c r="G35" s="107">
        <f>L33</f>
        <v>3</v>
      </c>
      <c r="H35" s="108" t="s">
        <v>9</v>
      </c>
      <c r="I35" s="109">
        <f>J33</f>
        <v>3</v>
      </c>
      <c r="J35" s="107"/>
      <c r="K35" s="108"/>
      <c r="L35" s="109"/>
      <c r="M35" s="110">
        <v>6</v>
      </c>
      <c r="N35" s="108" t="s">
        <v>52</v>
      </c>
      <c r="O35" s="112">
        <v>0</v>
      </c>
      <c r="P35" s="110">
        <v>3</v>
      </c>
      <c r="Q35" s="108" t="s">
        <v>52</v>
      </c>
      <c r="R35" s="111">
        <v>1</v>
      </c>
      <c r="S35" s="180"/>
      <c r="T35" s="178"/>
      <c r="U35" s="178"/>
      <c r="V35" s="178"/>
      <c r="W35" s="178"/>
      <c r="X35" s="178"/>
      <c r="Y35" s="146"/>
      <c r="AA35" s="142"/>
      <c r="AB35" s="142"/>
      <c r="AC35" s="142"/>
      <c r="AD35" s="142"/>
      <c r="AE35" s="142"/>
      <c r="AF35" s="142"/>
      <c r="AG35" s="142"/>
      <c r="AI35" s="142"/>
      <c r="AJ35" s="142"/>
      <c r="AK35" s="142"/>
    </row>
    <row r="36" spans="2:37" ht="13.5" customHeight="1">
      <c r="B36" s="153" t="s">
        <v>40</v>
      </c>
      <c r="C36" s="155" t="s">
        <v>122</v>
      </c>
      <c r="D36" s="156"/>
      <c r="E36" s="156"/>
      <c r="F36" s="157"/>
      <c r="G36" s="104"/>
      <c r="H36" s="105" t="str">
        <f>IF(G37="","",IF(G37&gt;I37,"○",IF(G37&lt;I37,"●","△")))</f>
        <v>●</v>
      </c>
      <c r="I36" s="106"/>
      <c r="J36" s="104"/>
      <c r="K36" s="105" t="str">
        <f>IF(J37="","",IF(J37&gt;L37,"○",IF(J37&lt;L37,"●","△")))</f>
        <v>●</v>
      </c>
      <c r="L36" s="106"/>
      <c r="M36" s="104"/>
      <c r="N36" s="105">
        <f>IF(M37="","",IF(M37&gt;O37,"○",IF(M37&lt;O37,"●","△")))</f>
      </c>
      <c r="O36" s="105"/>
      <c r="P36" s="104"/>
      <c r="Q36" s="105" t="str">
        <f>IF(P37="","",IF(P37&gt;R37,"○",IF(P37&lt;R37,"●","△")))</f>
        <v>△</v>
      </c>
      <c r="R36" s="106"/>
      <c r="S36" s="179">
        <f>AA36</f>
        <v>0</v>
      </c>
      <c r="T36" s="177">
        <f>AB36</f>
        <v>1</v>
      </c>
      <c r="U36" s="177">
        <f>AC36</f>
        <v>2</v>
      </c>
      <c r="V36" s="177">
        <f>G37+J37+M37+P37</f>
        <v>2</v>
      </c>
      <c r="W36" s="177">
        <f>G37+J37+M37+P37-I37-L37-O37-R37</f>
        <v>-9</v>
      </c>
      <c r="X36" s="177">
        <f>3*S36+T36</f>
        <v>1</v>
      </c>
      <c r="Y36" s="145">
        <f>RANK(AG36,$AG$32:$AG$39,1)</f>
        <v>4</v>
      </c>
      <c r="AA36" s="142">
        <f>COUNTIF($H36:$Q36,"○")</f>
        <v>0</v>
      </c>
      <c r="AB36" s="142">
        <f>COUNTIF($H36:$Q36,"△")</f>
        <v>1</v>
      </c>
      <c r="AC36" s="142">
        <f>COUNTIF($G36:$Q36,"●")</f>
        <v>2</v>
      </c>
      <c r="AD36" s="142">
        <f>100*RANK(X36,$X$32:$X$39,0)</f>
        <v>300</v>
      </c>
      <c r="AE36" s="142">
        <f>10*RANK(W36,$W$32:$W$39,0)</f>
        <v>40</v>
      </c>
      <c r="AF36" s="142">
        <f>RANK(V36,$V$32:$V$39,0)</f>
        <v>4</v>
      </c>
      <c r="AG36" s="142">
        <f>SUM(AD36:AF36)</f>
        <v>344</v>
      </c>
      <c r="AI36" s="142">
        <f>Y36</f>
        <v>4</v>
      </c>
      <c r="AJ36" s="142" t="str">
        <f>C36</f>
        <v>岩屋FC</v>
      </c>
      <c r="AK36" s="142"/>
    </row>
    <row r="37" spans="2:37" ht="13.5" customHeight="1">
      <c r="B37" s="154"/>
      <c r="C37" s="158"/>
      <c r="D37" s="159"/>
      <c r="E37" s="159"/>
      <c r="F37" s="160"/>
      <c r="G37" s="107">
        <f>O33</f>
        <v>1</v>
      </c>
      <c r="H37" s="108" t="s">
        <v>9</v>
      </c>
      <c r="I37" s="109">
        <f>M33</f>
        <v>4</v>
      </c>
      <c r="J37" s="107">
        <f>O35</f>
        <v>0</v>
      </c>
      <c r="K37" s="108" t="s">
        <v>9</v>
      </c>
      <c r="L37" s="109">
        <f>M35</f>
        <v>6</v>
      </c>
      <c r="M37" s="107"/>
      <c r="N37" s="108"/>
      <c r="O37" s="108"/>
      <c r="P37" s="107">
        <v>1</v>
      </c>
      <c r="Q37" s="108" t="s">
        <v>52</v>
      </c>
      <c r="R37" s="109">
        <v>1</v>
      </c>
      <c r="S37" s="180"/>
      <c r="T37" s="178"/>
      <c r="U37" s="178"/>
      <c r="V37" s="178"/>
      <c r="W37" s="178"/>
      <c r="X37" s="178"/>
      <c r="Y37" s="146"/>
      <c r="AA37" s="142"/>
      <c r="AB37" s="142"/>
      <c r="AC37" s="142"/>
      <c r="AD37" s="142"/>
      <c r="AE37" s="142"/>
      <c r="AF37" s="142"/>
      <c r="AG37" s="142"/>
      <c r="AI37" s="142"/>
      <c r="AJ37" s="142"/>
      <c r="AK37" s="142"/>
    </row>
    <row r="38" spans="2:37" ht="13.5" customHeight="1">
      <c r="B38" s="153" t="s">
        <v>50</v>
      </c>
      <c r="C38" s="155" t="s">
        <v>123</v>
      </c>
      <c r="D38" s="156"/>
      <c r="E38" s="156"/>
      <c r="F38" s="157"/>
      <c r="G38" s="104"/>
      <c r="H38" s="105" t="str">
        <f>IF(G39="","",IF(G39&gt;I39,"○",IF(G39&lt;I39,"●","△")))</f>
        <v>●</v>
      </c>
      <c r="I38" s="106"/>
      <c r="J38" s="104"/>
      <c r="K38" s="105" t="str">
        <f>IF(J39="","",IF(J39&gt;L39,"○",IF(J39&lt;L39,"●","△")))</f>
        <v>●</v>
      </c>
      <c r="L38" s="106"/>
      <c r="M38" s="104"/>
      <c r="N38" s="105" t="str">
        <f>IF(M39="","",IF(M39&gt;O39,"○",IF(M39&lt;O39,"●","△")))</f>
        <v>△</v>
      </c>
      <c r="O38" s="105"/>
      <c r="P38" s="104"/>
      <c r="Q38" s="105">
        <f>IF(P39="","",IF(P39&gt;R39,"○",IF(P39&lt;R39,"●","△")))</f>
      </c>
      <c r="R38" s="106"/>
      <c r="S38" s="179">
        <f>AA38</f>
        <v>0</v>
      </c>
      <c r="T38" s="177">
        <f>AB38</f>
        <v>1</v>
      </c>
      <c r="U38" s="177">
        <f>AC38</f>
        <v>2</v>
      </c>
      <c r="V38" s="177">
        <f>G39+J39+M39+P39</f>
        <v>3</v>
      </c>
      <c r="W38" s="177">
        <f>G39+J39+M39+P39-I39-L39-O39-R39</f>
        <v>-7</v>
      </c>
      <c r="X38" s="177">
        <f>3*S38+T38</f>
        <v>1</v>
      </c>
      <c r="Y38" s="145">
        <f>RANK(AG38,$AG$32:$AG$39,1)</f>
        <v>3</v>
      </c>
      <c r="AA38" s="142">
        <f>COUNTIF($H38:$Q38,"○")</f>
        <v>0</v>
      </c>
      <c r="AB38" s="142">
        <f>COUNTIF($H38:$Q38,"△")</f>
        <v>1</v>
      </c>
      <c r="AC38" s="142">
        <f>COUNTIF($G38:$Q38,"●")</f>
        <v>2</v>
      </c>
      <c r="AD38" s="142">
        <f>100*RANK(X38,$X$32:$X$39,0)</f>
        <v>300</v>
      </c>
      <c r="AE38" s="142">
        <f>10*RANK(W38,$W$32:$W$39,0)</f>
        <v>30</v>
      </c>
      <c r="AF38" s="142">
        <f>RANK(V38,$V$32:$V$39,0)</f>
        <v>3</v>
      </c>
      <c r="AG38" s="142">
        <f>SUM(AD38:AF38)</f>
        <v>333</v>
      </c>
      <c r="AI38" s="142">
        <f>Y38</f>
        <v>3</v>
      </c>
      <c r="AJ38" s="142" t="str">
        <f>C38</f>
        <v>東浦FC</v>
      </c>
      <c r="AK38" s="142"/>
    </row>
    <row r="39" spans="2:37" ht="13.5" customHeight="1">
      <c r="B39" s="154"/>
      <c r="C39" s="158"/>
      <c r="D39" s="159"/>
      <c r="E39" s="159"/>
      <c r="F39" s="160"/>
      <c r="G39" s="107">
        <f>R33</f>
        <v>1</v>
      </c>
      <c r="H39" s="108" t="s">
        <v>9</v>
      </c>
      <c r="I39" s="109">
        <f>P33</f>
        <v>6</v>
      </c>
      <c r="J39" s="107">
        <f>R35</f>
        <v>1</v>
      </c>
      <c r="K39" s="108" t="s">
        <v>9</v>
      </c>
      <c r="L39" s="109">
        <f>P35</f>
        <v>3</v>
      </c>
      <c r="M39" s="107">
        <f>R37</f>
        <v>1</v>
      </c>
      <c r="N39" s="108" t="s">
        <v>9</v>
      </c>
      <c r="O39" s="108">
        <f>P37</f>
        <v>1</v>
      </c>
      <c r="P39" s="107"/>
      <c r="Q39" s="108"/>
      <c r="R39" s="109"/>
      <c r="S39" s="180"/>
      <c r="T39" s="178"/>
      <c r="U39" s="178"/>
      <c r="V39" s="178"/>
      <c r="W39" s="178"/>
      <c r="X39" s="178"/>
      <c r="Y39" s="146"/>
      <c r="AA39" s="142"/>
      <c r="AB39" s="142"/>
      <c r="AC39" s="142"/>
      <c r="AD39" s="142"/>
      <c r="AE39" s="142"/>
      <c r="AF39" s="142"/>
      <c r="AG39" s="142"/>
      <c r="AI39" s="142"/>
      <c r="AJ39" s="142"/>
      <c r="AK39" s="142"/>
    </row>
    <row r="40" spans="2:37" ht="9" customHeight="1">
      <c r="B40" s="27"/>
      <c r="C40" s="31"/>
      <c r="D40" s="31"/>
      <c r="E40" s="31"/>
      <c r="F40" s="31"/>
      <c r="G40" s="28"/>
      <c r="H40" s="28"/>
      <c r="I40" s="28"/>
      <c r="J40" s="28"/>
      <c r="K40" s="28"/>
      <c r="L40" s="28"/>
      <c r="M40" s="28"/>
      <c r="N40" s="28"/>
      <c r="O40" s="28"/>
      <c r="P40" s="32"/>
      <c r="Q40" s="28"/>
      <c r="R40" s="32"/>
      <c r="S40" s="32"/>
      <c r="T40" s="32"/>
      <c r="U40" s="32"/>
      <c r="V40" s="32"/>
      <c r="W40" s="32"/>
      <c r="X40" s="32"/>
      <c r="Y40" s="15"/>
      <c r="AA40" s="26"/>
      <c r="AB40" s="26"/>
      <c r="AC40" s="26"/>
      <c r="AD40" s="26"/>
      <c r="AE40" s="26"/>
      <c r="AF40" s="26"/>
      <c r="AG40" s="26"/>
      <c r="AI40" s="87"/>
      <c r="AJ40" s="87"/>
      <c r="AK40" s="87"/>
    </row>
    <row r="41" spans="8:35" ht="3" customHeight="1">
      <c r="H41" s="26"/>
      <c r="K41" s="26"/>
      <c r="N41" s="26"/>
      <c r="Q41" s="26"/>
      <c r="W41" s="35"/>
      <c r="X41" s="35"/>
      <c r="AA41" s="26"/>
      <c r="AB41" s="26"/>
      <c r="AI41" s="30"/>
    </row>
    <row r="42" spans="2:9" ht="16.5" customHeight="1">
      <c r="B42" s="182" t="s">
        <v>24</v>
      </c>
      <c r="C42" s="182"/>
      <c r="D42" s="182"/>
      <c r="E42" s="182"/>
      <c r="F42" s="182"/>
      <c r="G42" s="182"/>
      <c r="H42" s="182"/>
      <c r="I42" s="182"/>
    </row>
    <row r="43" spans="2:34" ht="15" customHeight="1">
      <c r="B43" s="183"/>
      <c r="C43" s="183"/>
      <c r="D43" s="183"/>
      <c r="E43" s="183"/>
      <c r="F43" s="191" t="s">
        <v>16</v>
      </c>
      <c r="G43" s="191"/>
      <c r="H43" s="191"/>
      <c r="I43" s="191"/>
      <c r="J43" s="191"/>
      <c r="K43" s="191" t="s">
        <v>17</v>
      </c>
      <c r="L43" s="191"/>
      <c r="M43" s="191"/>
      <c r="N43" s="191"/>
      <c r="O43" s="191"/>
      <c r="P43" s="191" t="s">
        <v>18</v>
      </c>
      <c r="Q43" s="191"/>
      <c r="R43" s="191"/>
      <c r="S43" s="191"/>
      <c r="T43" s="191"/>
      <c r="U43" s="191" t="s">
        <v>19</v>
      </c>
      <c r="V43" s="191"/>
      <c r="W43" s="191"/>
      <c r="X43" s="191"/>
      <c r="Y43" s="191"/>
      <c r="Z43" s="18"/>
      <c r="AH43" s="19"/>
    </row>
    <row r="44" spans="2:34" ht="18" customHeight="1">
      <c r="B44" s="184" t="s">
        <v>0</v>
      </c>
      <c r="C44" s="184"/>
      <c r="D44" s="184"/>
      <c r="E44" s="184"/>
      <c r="F44" s="174" t="str">
        <f>IF($J$7="","Ａ組１位",VLOOKUP($AA$44,$AI$6:$AJ$13,2,FALSE))</f>
        <v>シエロFC</v>
      </c>
      <c r="G44" s="174"/>
      <c r="H44" s="174"/>
      <c r="I44" s="174"/>
      <c r="J44" s="174"/>
      <c r="K44" s="174" t="str">
        <f>IF($J$7="","Ａ組２位",VLOOKUP($AB$44,$AI$6:$AJ$13,2,FALSE))</f>
        <v>一宮FC</v>
      </c>
      <c r="L44" s="174"/>
      <c r="M44" s="174"/>
      <c r="N44" s="174"/>
      <c r="O44" s="174"/>
      <c r="P44" s="174" t="str">
        <f>IF($J$7="","Ａ組３位",VLOOKUP($AC$44,$AI$6:$AJ$13,2,FALSE))</f>
        <v>福良FC</v>
      </c>
      <c r="Q44" s="174"/>
      <c r="R44" s="174"/>
      <c r="S44" s="174"/>
      <c r="T44" s="174"/>
      <c r="U44" s="174" t="str">
        <f>IF($J$7="","Ａ組４位",VLOOKUP($AD$44,$AI$6:$AJ$13,2,FALSE))</f>
        <v>FC大野</v>
      </c>
      <c r="V44" s="174"/>
      <c r="W44" s="174"/>
      <c r="X44" s="174"/>
      <c r="Y44" s="174"/>
      <c r="Z44" s="18"/>
      <c r="AA44" s="18">
        <v>1</v>
      </c>
      <c r="AB44" s="18">
        <v>2</v>
      </c>
      <c r="AC44" s="18">
        <v>3</v>
      </c>
      <c r="AD44" s="18">
        <v>4</v>
      </c>
      <c r="AH44" s="19"/>
    </row>
    <row r="45" spans="2:34" ht="18" customHeight="1">
      <c r="B45" s="184" t="s">
        <v>6</v>
      </c>
      <c r="C45" s="184"/>
      <c r="D45" s="184"/>
      <c r="E45" s="184"/>
      <c r="F45" s="174" t="str">
        <f>IF($J$7="","Ｂ組１位",VLOOKUP($AA$44,$AI$16:$AJ$21,2,FALSE))</f>
        <v>Awaji</v>
      </c>
      <c r="G45" s="174"/>
      <c r="H45" s="174"/>
      <c r="I45" s="174"/>
      <c r="J45" s="174"/>
      <c r="K45" s="174" t="str">
        <f>IF($J$7="","Ｂ組２位",VLOOKUP($AB$44,$AI$16:$AJ$21,2,FALSE))</f>
        <v>五色FC</v>
      </c>
      <c r="L45" s="174"/>
      <c r="M45" s="174"/>
      <c r="N45" s="174"/>
      <c r="O45" s="174"/>
      <c r="P45" s="174" t="str">
        <f>IF($J$7="","Ｂ組３位",VLOOKUP($AC$44,$AI$16:$AJ$21,2,FALSE))</f>
        <v>西淡SSS</v>
      </c>
      <c r="Q45" s="174"/>
      <c r="R45" s="174"/>
      <c r="S45" s="174"/>
      <c r="T45" s="174"/>
      <c r="U45" s="199" t="str">
        <f>IF(AI38=1,"Ｂ組4位",VLOOKUP($AA$44,$AI$32:$AJ$39,2,FALSE))</f>
        <v>三原少年団</v>
      </c>
      <c r="V45" s="199"/>
      <c r="W45" s="199"/>
      <c r="X45" s="199"/>
      <c r="Y45" s="199"/>
      <c r="Z45" s="18"/>
      <c r="AH45" s="19"/>
    </row>
    <row r="46" spans="2:34" ht="18" customHeight="1">
      <c r="B46" s="184" t="s">
        <v>7</v>
      </c>
      <c r="C46" s="184"/>
      <c r="D46" s="184"/>
      <c r="E46" s="184"/>
      <c r="F46" s="174" t="str">
        <f>IF($J$7="","Ｃ組１位",VLOOKUP($AA$44,$AI$24:$AJ$29,2,FALSE))</f>
        <v>ダイナマイト</v>
      </c>
      <c r="G46" s="174"/>
      <c r="H46" s="174"/>
      <c r="I46" s="174"/>
      <c r="J46" s="174"/>
      <c r="K46" s="174" t="str">
        <f>IF($J$7="","Ｃ組２位",VLOOKUP($AB$44,$AI$24:$AJ$29,2,FALSE))</f>
        <v>洲本FC</v>
      </c>
      <c r="L46" s="174"/>
      <c r="M46" s="174"/>
      <c r="N46" s="174"/>
      <c r="O46" s="174"/>
      <c r="P46" s="174" t="str">
        <f>IF($J$7="","Ｃ組３位",VLOOKUP($AC$44,$AI$24:$AJ$29,2,FALSE))</f>
        <v>北淡FC</v>
      </c>
      <c r="Q46" s="174"/>
      <c r="R46" s="174"/>
      <c r="S46" s="174"/>
      <c r="T46" s="174"/>
      <c r="U46" s="200"/>
      <c r="V46" s="200"/>
      <c r="W46" s="200"/>
      <c r="X46" s="200"/>
      <c r="Y46" s="200"/>
      <c r="Z46" s="18"/>
      <c r="AH46" s="19"/>
    </row>
    <row r="47" spans="2:34" ht="18" customHeight="1">
      <c r="B47" s="184" t="s">
        <v>8</v>
      </c>
      <c r="C47" s="184"/>
      <c r="D47" s="184"/>
      <c r="E47" s="184"/>
      <c r="F47" s="174" t="str">
        <f>IF($J$7="","Ｄ組１位",VLOOKUP($AA$44,$AI$32:$AJ$39,2,FALSE))</f>
        <v>三原少年団</v>
      </c>
      <c r="G47" s="174"/>
      <c r="H47" s="174"/>
      <c r="I47" s="174"/>
      <c r="J47" s="174"/>
      <c r="K47" s="174" t="str">
        <f>IF($J$7="","Ｄ組２位",VLOOKUP($AB$44,$AI$32:$AJ$39,2,FALSE))</f>
        <v>FCシロッコ</v>
      </c>
      <c r="L47" s="174"/>
      <c r="M47" s="174"/>
      <c r="N47" s="174"/>
      <c r="O47" s="174"/>
      <c r="P47" s="174" t="str">
        <f>IF($J$7="","Ｄ組３位",VLOOKUP($AC$44,$AI$32:$AJ$39,2,FALSE))</f>
        <v>東浦FC</v>
      </c>
      <c r="Q47" s="174"/>
      <c r="R47" s="174"/>
      <c r="S47" s="174"/>
      <c r="T47" s="174"/>
      <c r="U47" s="174" t="str">
        <f>IF($J$7="","Ｄ組４位",VLOOKUP($AD$44,$AI$32:$AJ$39,2,FALSE))</f>
        <v>岩屋FC</v>
      </c>
      <c r="V47" s="174"/>
      <c r="W47" s="174"/>
      <c r="X47" s="174"/>
      <c r="Y47" s="174"/>
      <c r="Z47" s="18"/>
      <c r="AH47" s="19"/>
    </row>
    <row r="48" ht="13.5" customHeight="1"/>
    <row r="49" spans="2:16" ht="12.75">
      <c r="B49" s="201" t="s">
        <v>80</v>
      </c>
      <c r="C49" s="201"/>
      <c r="D49" s="201"/>
      <c r="E49" s="201"/>
      <c r="F49" s="201"/>
      <c r="G49" s="201"/>
      <c r="H49" s="202" t="s">
        <v>89</v>
      </c>
      <c r="I49" s="202"/>
      <c r="J49" s="202"/>
      <c r="K49" s="202"/>
      <c r="L49" s="202"/>
      <c r="M49" s="202"/>
      <c r="N49" s="202"/>
      <c r="O49" s="202"/>
      <c r="P49" s="202"/>
    </row>
    <row r="50" ht="13.5" customHeight="1"/>
    <row r="51" spans="2:25" ht="12.75" customHeight="1" thickBot="1">
      <c r="B51" s="192" t="str">
        <f>IF(F44="","Ａ組１位",F44)</f>
        <v>シエロFC</v>
      </c>
      <c r="C51" s="193"/>
      <c r="D51" s="193"/>
      <c r="E51" s="194"/>
      <c r="F51" s="40"/>
      <c r="I51" s="119">
        <v>4</v>
      </c>
      <c r="M51" s="198" t="s">
        <v>73</v>
      </c>
      <c r="N51" s="198"/>
      <c r="R51" s="121">
        <v>2</v>
      </c>
      <c r="V51" s="192" t="str">
        <f>IF(K44="","Ａ組２位",K44)</f>
        <v>一宮FC</v>
      </c>
      <c r="W51" s="193"/>
      <c r="X51" s="193"/>
      <c r="Y51" s="194"/>
    </row>
    <row r="52" spans="2:25" ht="12.75" customHeight="1" thickTop="1">
      <c r="B52" s="195"/>
      <c r="C52" s="196"/>
      <c r="D52" s="196"/>
      <c r="E52" s="197"/>
      <c r="F52" s="125"/>
      <c r="G52" s="126"/>
      <c r="H52" s="126"/>
      <c r="I52" s="128"/>
      <c r="J52" s="101"/>
      <c r="K52" s="101"/>
      <c r="M52" s="198"/>
      <c r="N52" s="198"/>
      <c r="S52" s="36"/>
      <c r="T52" s="37"/>
      <c r="U52" s="38"/>
      <c r="V52" s="195"/>
      <c r="W52" s="196"/>
      <c r="X52" s="196"/>
      <c r="Y52" s="197"/>
    </row>
    <row r="53" spans="2:25" ht="12.75" customHeight="1" thickBot="1">
      <c r="B53" s="21"/>
      <c r="C53" s="165">
        <v>42391</v>
      </c>
      <c r="D53" s="166"/>
      <c r="E53" s="39"/>
      <c r="F53" s="26"/>
      <c r="G53" s="26"/>
      <c r="H53" s="172" t="s">
        <v>83</v>
      </c>
      <c r="I53" s="129"/>
      <c r="J53" s="130"/>
      <c r="K53" s="130"/>
      <c r="L53" s="119">
        <v>2</v>
      </c>
      <c r="M53" s="171" t="str">
        <f>B51</f>
        <v>シエロFC</v>
      </c>
      <c r="N53" s="171"/>
      <c r="O53" s="121">
        <v>1</v>
      </c>
      <c r="P53" s="101"/>
      <c r="Q53" s="101" t="s">
        <v>140</v>
      </c>
      <c r="R53" s="101">
        <v>2</v>
      </c>
      <c r="S53" s="173" t="s">
        <v>40</v>
      </c>
      <c r="T53" s="18"/>
      <c r="U53" s="18"/>
      <c r="V53" s="21"/>
      <c r="W53" s="165">
        <f>C53</f>
        <v>42391</v>
      </c>
      <c r="X53" s="166"/>
      <c r="Y53" s="39"/>
    </row>
    <row r="54" spans="2:25" ht="12.75" customHeight="1" thickBot="1" thickTop="1">
      <c r="B54" s="21"/>
      <c r="C54" s="167"/>
      <c r="D54" s="167"/>
      <c r="E54" s="41"/>
      <c r="F54" s="26"/>
      <c r="G54" s="26"/>
      <c r="H54" s="172"/>
      <c r="I54" s="42"/>
      <c r="J54" s="26"/>
      <c r="K54" s="137"/>
      <c r="L54" s="128"/>
      <c r="M54" s="279"/>
      <c r="N54" s="279"/>
      <c r="O54" s="136"/>
      <c r="P54" s="126"/>
      <c r="Q54" s="126" t="s">
        <v>139</v>
      </c>
      <c r="R54" s="135">
        <v>3</v>
      </c>
      <c r="S54" s="172"/>
      <c r="T54" s="18"/>
      <c r="U54" s="18"/>
      <c r="V54" s="21"/>
      <c r="W54" s="167"/>
      <c r="X54" s="167"/>
      <c r="Y54" s="41"/>
    </row>
    <row r="55" spans="2:25" ht="12.75" customHeight="1" thickBot="1">
      <c r="B55" s="185" t="str">
        <f>IF(K47=" ","D組2位",K47)</f>
        <v>FCシロッコ</v>
      </c>
      <c r="C55" s="186"/>
      <c r="D55" s="186"/>
      <c r="E55" s="187"/>
      <c r="F55" s="45"/>
      <c r="G55" s="48"/>
      <c r="H55" s="48"/>
      <c r="I55" s="44"/>
      <c r="J55" s="26"/>
      <c r="K55" s="137"/>
      <c r="L55" s="270">
        <f>'時間表'!AC28</f>
        <v>5</v>
      </c>
      <c r="M55" s="136"/>
      <c r="N55" s="275"/>
      <c r="O55" s="272">
        <f>'時間表'!AE28</f>
        <v>1</v>
      </c>
      <c r="P55" s="137"/>
      <c r="Q55" s="101"/>
      <c r="R55" s="136"/>
      <c r="S55" s="130"/>
      <c r="T55" s="130"/>
      <c r="U55" s="134"/>
      <c r="V55" s="185" t="str">
        <f>IF(F47="","D組１位",F47)</f>
        <v>三原少年団</v>
      </c>
      <c r="W55" s="186"/>
      <c r="X55" s="186"/>
      <c r="Y55" s="187"/>
    </row>
    <row r="56" spans="2:25" ht="12.75" customHeight="1" thickTop="1">
      <c r="B56" s="188"/>
      <c r="C56" s="189"/>
      <c r="D56" s="189"/>
      <c r="E56" s="190"/>
      <c r="F56" s="40"/>
      <c r="H56" s="26"/>
      <c r="I56" s="120">
        <v>1</v>
      </c>
      <c r="J56" s="26"/>
      <c r="K56" s="137"/>
      <c r="L56" s="271"/>
      <c r="M56" s="276"/>
      <c r="N56" s="103"/>
      <c r="O56" s="273"/>
      <c r="P56" s="137"/>
      <c r="Q56" s="26"/>
      <c r="R56" s="122">
        <v>2</v>
      </c>
      <c r="V56" s="188"/>
      <c r="W56" s="189"/>
      <c r="X56" s="189"/>
      <c r="Y56" s="190"/>
    </row>
    <row r="57" spans="2:25" ht="12.75" customHeight="1" thickBot="1">
      <c r="B57" s="21"/>
      <c r="F57" s="40"/>
      <c r="H57" s="26"/>
      <c r="I57" s="169">
        <v>42398</v>
      </c>
      <c r="J57" s="172"/>
      <c r="K57" s="172" t="s">
        <v>55</v>
      </c>
      <c r="L57" s="131"/>
      <c r="M57" s="277">
        <v>5</v>
      </c>
      <c r="N57" s="278">
        <v>1</v>
      </c>
      <c r="O57" s="274" t="s">
        <v>142</v>
      </c>
      <c r="P57" s="172" t="s">
        <v>56</v>
      </c>
      <c r="Q57" s="169">
        <f>I57</f>
        <v>42398</v>
      </c>
      <c r="R57" s="169"/>
      <c r="V57" s="21"/>
      <c r="W57" s="21"/>
      <c r="X57" s="21"/>
      <c r="Y57" s="21"/>
    </row>
    <row r="58" spans="2:25" ht="12.75" customHeight="1" thickTop="1">
      <c r="B58" s="21"/>
      <c r="F58" s="40"/>
      <c r="H58" s="26"/>
      <c r="I58" s="172"/>
      <c r="J58" s="172"/>
      <c r="K58" s="168"/>
      <c r="L58" s="44"/>
      <c r="M58" s="162" t="s">
        <v>51</v>
      </c>
      <c r="N58" s="162"/>
      <c r="O58" s="43" t="s">
        <v>143</v>
      </c>
      <c r="P58" s="173"/>
      <c r="Q58" s="169"/>
      <c r="R58" s="169"/>
      <c r="V58" s="21"/>
      <c r="W58" s="21"/>
      <c r="X58" s="21"/>
      <c r="Y58" s="21"/>
    </row>
    <row r="59" spans="2:37" ht="12.75" customHeight="1" thickBot="1">
      <c r="B59" s="185" t="str">
        <f>IF(F45="","B組１位",F45)</f>
        <v>Awaji</v>
      </c>
      <c r="C59" s="186"/>
      <c r="D59" s="186"/>
      <c r="E59" s="187"/>
      <c r="F59" s="132"/>
      <c r="G59" s="130"/>
      <c r="H59" s="130"/>
      <c r="I59" s="133">
        <v>4</v>
      </c>
      <c r="J59" s="101"/>
      <c r="K59" s="43"/>
      <c r="L59" s="54">
        <f>'時間表'!I28</f>
        <v>0</v>
      </c>
      <c r="M59" s="163"/>
      <c r="N59" s="163"/>
      <c r="O59" s="55">
        <f>'時間表'!K28</f>
        <v>0</v>
      </c>
      <c r="P59" s="44"/>
      <c r="Q59" s="26"/>
      <c r="R59" s="123">
        <v>2</v>
      </c>
      <c r="V59" s="192" t="str">
        <f>IF(K45="","B組２位",K45)</f>
        <v>五色FC</v>
      </c>
      <c r="W59" s="193"/>
      <c r="X59" s="193"/>
      <c r="Y59" s="194"/>
      <c r="AJ59" s="30"/>
      <c r="AK59" s="30"/>
    </row>
    <row r="60" spans="2:37" ht="12.75" customHeight="1" thickTop="1">
      <c r="B60" s="188"/>
      <c r="C60" s="189"/>
      <c r="D60" s="189"/>
      <c r="E60" s="190"/>
      <c r="F60" s="44"/>
      <c r="G60" s="26"/>
      <c r="H60" s="26"/>
      <c r="I60" s="128"/>
      <c r="J60" s="101"/>
      <c r="K60" s="43"/>
      <c r="M60" s="170">
        <f>I57</f>
        <v>42398</v>
      </c>
      <c r="N60" s="171"/>
      <c r="P60" s="44"/>
      <c r="Q60" s="26"/>
      <c r="R60" s="47"/>
      <c r="S60" s="36"/>
      <c r="T60" s="37"/>
      <c r="U60" s="38"/>
      <c r="V60" s="195"/>
      <c r="W60" s="196"/>
      <c r="X60" s="196"/>
      <c r="Y60" s="197"/>
      <c r="AJ60" s="30"/>
      <c r="AK60" s="30"/>
    </row>
    <row r="61" spans="2:37" ht="12.75" customHeight="1" thickBot="1">
      <c r="B61" s="21"/>
      <c r="C61" s="165">
        <f>C53</f>
        <v>42391</v>
      </c>
      <c r="D61" s="166"/>
      <c r="E61" s="39"/>
      <c r="F61" s="26"/>
      <c r="G61" s="26"/>
      <c r="H61" s="172" t="s">
        <v>48</v>
      </c>
      <c r="I61" s="131"/>
      <c r="J61" s="130"/>
      <c r="K61" s="134"/>
      <c r="M61" s="171"/>
      <c r="N61" s="171"/>
      <c r="P61" s="44"/>
      <c r="Q61" s="101" t="s">
        <v>138</v>
      </c>
      <c r="R61" s="101">
        <v>2</v>
      </c>
      <c r="S61" s="173" t="s">
        <v>50</v>
      </c>
      <c r="T61" s="18"/>
      <c r="U61" s="18"/>
      <c r="V61" s="21"/>
      <c r="W61" s="165">
        <f>C53</f>
        <v>42391</v>
      </c>
      <c r="X61" s="166"/>
      <c r="Y61" s="39"/>
      <c r="AJ61" s="30"/>
      <c r="AK61" s="30"/>
    </row>
    <row r="62" spans="2:37" ht="12.75" customHeight="1" thickTop="1">
      <c r="B62" s="21"/>
      <c r="C62" s="167"/>
      <c r="D62" s="167"/>
      <c r="E62" s="41"/>
      <c r="F62" s="26"/>
      <c r="G62" s="26"/>
      <c r="H62" s="168"/>
      <c r="L62" s="119">
        <v>1</v>
      </c>
      <c r="O62" s="121">
        <v>1</v>
      </c>
      <c r="P62" s="126"/>
      <c r="Q62" s="126" t="s">
        <v>139</v>
      </c>
      <c r="R62" s="135">
        <v>3</v>
      </c>
      <c r="S62" s="172"/>
      <c r="T62" s="18"/>
      <c r="U62" s="18"/>
      <c r="V62" s="21"/>
      <c r="W62" s="167"/>
      <c r="X62" s="167"/>
      <c r="Y62" s="41"/>
      <c r="AJ62" s="30"/>
      <c r="AK62" s="30"/>
    </row>
    <row r="63" spans="2:25" ht="12.75" customHeight="1" thickBot="1">
      <c r="B63" s="185" t="str">
        <f>IF(K46="","C組２位",K46)</f>
        <v>洲本FC</v>
      </c>
      <c r="C63" s="186"/>
      <c r="D63" s="186"/>
      <c r="E63" s="187"/>
      <c r="F63" s="45"/>
      <c r="G63" s="48"/>
      <c r="H63" s="46"/>
      <c r="O63" s="139"/>
      <c r="P63" s="101"/>
      <c r="Q63" s="101"/>
      <c r="R63" s="136"/>
      <c r="S63" s="101"/>
      <c r="T63" s="101"/>
      <c r="U63" s="43"/>
      <c r="V63" s="185" t="str">
        <f>IF(F46="","C組１位",F46)</f>
        <v>ダイナマイト</v>
      </c>
      <c r="W63" s="186"/>
      <c r="X63" s="186"/>
      <c r="Y63" s="187"/>
    </row>
    <row r="64" spans="2:25" ht="12.75" customHeight="1" thickTop="1">
      <c r="B64" s="188"/>
      <c r="C64" s="189"/>
      <c r="D64" s="189"/>
      <c r="E64" s="190"/>
      <c r="F64" s="40"/>
      <c r="I64" s="119">
        <v>0</v>
      </c>
      <c r="R64" s="124">
        <v>2</v>
      </c>
      <c r="S64" s="126"/>
      <c r="T64" s="126"/>
      <c r="U64" s="127"/>
      <c r="V64" s="188"/>
      <c r="W64" s="189"/>
      <c r="X64" s="189"/>
      <c r="Y64" s="190"/>
    </row>
    <row r="65" spans="2:26" ht="12.75" customHeight="1">
      <c r="B65" s="95"/>
      <c r="C65" s="95"/>
      <c r="D65" s="95"/>
      <c r="E65" s="95"/>
      <c r="F65" s="94"/>
      <c r="G65" s="94"/>
      <c r="H65" s="94"/>
      <c r="I65" s="51"/>
      <c r="J65" s="94"/>
      <c r="K65" s="94"/>
      <c r="L65" s="94"/>
      <c r="M65" s="94"/>
      <c r="N65" s="94"/>
      <c r="O65" s="94"/>
      <c r="P65" s="94"/>
      <c r="Q65" s="94"/>
      <c r="R65" s="50"/>
      <c r="S65" s="94"/>
      <c r="T65" s="94"/>
      <c r="U65" s="94"/>
      <c r="V65" s="95"/>
      <c r="W65" s="95"/>
      <c r="X65" s="95"/>
      <c r="Y65" s="95"/>
      <c r="Z65" s="94"/>
    </row>
    <row r="66" ht="11.25" customHeight="1">
      <c r="U66" s="49"/>
    </row>
    <row r="67" spans="4:23" ht="42.75" customHeight="1">
      <c r="D67" s="164" t="s">
        <v>73</v>
      </c>
      <c r="E67" s="164"/>
      <c r="F67" s="280" t="str">
        <f>B51</f>
        <v>シエロFC</v>
      </c>
      <c r="G67" s="280"/>
      <c r="H67" s="280"/>
      <c r="I67" s="280"/>
      <c r="J67" s="280"/>
      <c r="K67" s="280"/>
      <c r="L67" s="280"/>
      <c r="M67" s="280"/>
      <c r="N67" s="164" t="s">
        <v>81</v>
      </c>
      <c r="O67" s="164"/>
      <c r="P67" s="281" t="str">
        <f>V55</f>
        <v>三原少年団</v>
      </c>
      <c r="Q67" s="282"/>
      <c r="R67" s="282"/>
      <c r="S67" s="282"/>
      <c r="T67" s="282"/>
      <c r="U67" s="282"/>
      <c r="V67" s="282"/>
      <c r="W67" s="283"/>
    </row>
    <row r="68" spans="4:26" ht="42.75" customHeight="1">
      <c r="D68" s="164" t="s">
        <v>141</v>
      </c>
      <c r="E68" s="164"/>
      <c r="F68" s="280" t="str">
        <f>V63</f>
        <v>ダイナマイト</v>
      </c>
      <c r="G68" s="280"/>
      <c r="H68" s="280"/>
      <c r="I68" s="280"/>
      <c r="J68" s="280"/>
      <c r="K68" s="280"/>
      <c r="L68" s="280"/>
      <c r="M68" s="280"/>
      <c r="N68" s="164" t="s">
        <v>141</v>
      </c>
      <c r="O68" s="164"/>
      <c r="P68" s="281" t="str">
        <f>B59</f>
        <v>Awaji</v>
      </c>
      <c r="Q68" s="282"/>
      <c r="R68" s="282"/>
      <c r="S68" s="282"/>
      <c r="T68" s="282"/>
      <c r="U68" s="282"/>
      <c r="V68" s="282"/>
      <c r="W68" s="283"/>
      <c r="X68" s="138"/>
      <c r="Y68" s="138"/>
      <c r="Z68" s="138"/>
    </row>
  </sheetData>
  <sheetProtection/>
  <mergeCells count="344">
    <mergeCell ref="D68:E68"/>
    <mergeCell ref="F68:M68"/>
    <mergeCell ref="N68:O68"/>
    <mergeCell ref="P68:W68"/>
    <mergeCell ref="B3:Y3"/>
    <mergeCell ref="B49:G49"/>
    <mergeCell ref="H49:P49"/>
    <mergeCell ref="P31:R31"/>
    <mergeCell ref="B38:B39"/>
    <mergeCell ref="C38:F39"/>
    <mergeCell ref="S38:S39"/>
    <mergeCell ref="V38:V39"/>
    <mergeCell ref="K43:O43"/>
    <mergeCell ref="K46:O46"/>
    <mergeCell ref="AE38:AE39"/>
    <mergeCell ref="AF38:AF39"/>
    <mergeCell ref="J5:L5"/>
    <mergeCell ref="G31:I31"/>
    <mergeCell ref="J31:L31"/>
    <mergeCell ref="Y32:Y33"/>
    <mergeCell ref="U32:U33"/>
    <mergeCell ref="V12:V13"/>
    <mergeCell ref="AA32:AA33"/>
    <mergeCell ref="AA38:AA39"/>
    <mergeCell ref="K47:O47"/>
    <mergeCell ref="AA36:AA37"/>
    <mergeCell ref="T38:T39"/>
    <mergeCell ref="P47:T47"/>
    <mergeCell ref="P43:T43"/>
    <mergeCell ref="U46:Y46"/>
    <mergeCell ref="U47:Y47"/>
    <mergeCell ref="AD38:AD39"/>
    <mergeCell ref="AB38:AB39"/>
    <mergeCell ref="AC38:AC39"/>
    <mergeCell ref="W38:W39"/>
    <mergeCell ref="X38:X39"/>
    <mergeCell ref="U45:Y45"/>
    <mergeCell ref="U38:U39"/>
    <mergeCell ref="Y38:Y39"/>
    <mergeCell ref="U43:Y43"/>
    <mergeCell ref="U44:Y44"/>
    <mergeCell ref="V63:Y64"/>
    <mergeCell ref="B51:E52"/>
    <mergeCell ref="V51:Y52"/>
    <mergeCell ref="B55:E56"/>
    <mergeCell ref="V55:Y56"/>
    <mergeCell ref="B59:E60"/>
    <mergeCell ref="V59:Y60"/>
    <mergeCell ref="H53:H54"/>
    <mergeCell ref="M51:N52"/>
    <mergeCell ref="C61:D62"/>
    <mergeCell ref="B5:F5"/>
    <mergeCell ref="B31:F31"/>
    <mergeCell ref="C32:F33"/>
    <mergeCell ref="P46:T46"/>
    <mergeCell ref="K44:O44"/>
    <mergeCell ref="B63:E64"/>
    <mergeCell ref="B47:E47"/>
    <mergeCell ref="M31:O31"/>
    <mergeCell ref="F44:J44"/>
    <mergeCell ref="F43:J43"/>
    <mergeCell ref="B42:I42"/>
    <mergeCell ref="B43:E43"/>
    <mergeCell ref="B44:E44"/>
    <mergeCell ref="F45:J45"/>
    <mergeCell ref="B45:E45"/>
    <mergeCell ref="F46:J46"/>
    <mergeCell ref="B46:E46"/>
    <mergeCell ref="C6:F7"/>
    <mergeCell ref="B32:B33"/>
    <mergeCell ref="C10:F11"/>
    <mergeCell ref="W12:W13"/>
    <mergeCell ref="V10:V11"/>
    <mergeCell ref="U10:U11"/>
    <mergeCell ref="S8:S9"/>
    <mergeCell ref="C12:F13"/>
    <mergeCell ref="B10:B11"/>
    <mergeCell ref="U6:U7"/>
    <mergeCell ref="AC36:AC37"/>
    <mergeCell ref="AB32:AB33"/>
    <mergeCell ref="AC34:AC35"/>
    <mergeCell ref="S12:S13"/>
    <mergeCell ref="Y12:Y13"/>
    <mergeCell ref="X12:X13"/>
    <mergeCell ref="AA12:AA13"/>
    <mergeCell ref="T32:T33"/>
    <mergeCell ref="AB36:AB37"/>
    <mergeCell ref="AA34:AA35"/>
    <mergeCell ref="AC12:AC13"/>
    <mergeCell ref="AE34:AE35"/>
    <mergeCell ref="AD34:AD35"/>
    <mergeCell ref="AB34:AB35"/>
    <mergeCell ref="AC32:AC33"/>
    <mergeCell ref="AE18:AE19"/>
    <mergeCell ref="AC24:AC25"/>
    <mergeCell ref="AD24:AD25"/>
    <mergeCell ref="AE24:AE25"/>
    <mergeCell ref="AC16:AC17"/>
    <mergeCell ref="G5:I5"/>
    <mergeCell ref="Y34:Y35"/>
    <mergeCell ref="T34:T35"/>
    <mergeCell ref="V34:V35"/>
    <mergeCell ref="U36:U37"/>
    <mergeCell ref="AB12:AB13"/>
    <mergeCell ref="U12:U13"/>
    <mergeCell ref="V32:V33"/>
    <mergeCell ref="X32:X33"/>
    <mergeCell ref="S32:S33"/>
    <mergeCell ref="A1:Y1"/>
    <mergeCell ref="B6:B7"/>
    <mergeCell ref="B8:B9"/>
    <mergeCell ref="S6:S7"/>
    <mergeCell ref="B12:B13"/>
    <mergeCell ref="C8:F9"/>
    <mergeCell ref="Y10:Y11"/>
    <mergeCell ref="M5:O5"/>
    <mergeCell ref="P5:R5"/>
    <mergeCell ref="S10:S11"/>
    <mergeCell ref="B36:B37"/>
    <mergeCell ref="S34:S35"/>
    <mergeCell ref="S36:S37"/>
    <mergeCell ref="C36:F37"/>
    <mergeCell ref="W36:W37"/>
    <mergeCell ref="V36:V37"/>
    <mergeCell ref="T36:T37"/>
    <mergeCell ref="C34:F35"/>
    <mergeCell ref="B34:B35"/>
    <mergeCell ref="V6:V7"/>
    <mergeCell ref="U8:U9"/>
    <mergeCell ref="W34:W35"/>
    <mergeCell ref="U34:U35"/>
    <mergeCell ref="T8:T9"/>
    <mergeCell ref="V8:V9"/>
    <mergeCell ref="W32:W33"/>
    <mergeCell ref="T12:T13"/>
    <mergeCell ref="W10:W11"/>
    <mergeCell ref="T6:T7"/>
    <mergeCell ref="Y6:Y7"/>
    <mergeCell ref="W8:W9"/>
    <mergeCell ref="Y8:Y9"/>
    <mergeCell ref="W6:W7"/>
    <mergeCell ref="X6:X7"/>
    <mergeCell ref="X8:X9"/>
    <mergeCell ref="AA10:AA11"/>
    <mergeCell ref="X36:X37"/>
    <mergeCell ref="Y36:Y37"/>
    <mergeCell ref="X10:X11"/>
    <mergeCell ref="X34:X35"/>
    <mergeCell ref="T10:T11"/>
    <mergeCell ref="Y16:Y17"/>
    <mergeCell ref="W18:W19"/>
    <mergeCell ref="X18:X19"/>
    <mergeCell ref="Y18:Y19"/>
    <mergeCell ref="AD8:AD9"/>
    <mergeCell ref="AB10:AB11"/>
    <mergeCell ref="AC10:AC11"/>
    <mergeCell ref="AD12:AD13"/>
    <mergeCell ref="AA6:AA7"/>
    <mergeCell ref="AB6:AB7"/>
    <mergeCell ref="AC6:AC7"/>
    <mergeCell ref="AA8:AA9"/>
    <mergeCell ref="AB8:AB9"/>
    <mergeCell ref="AC8:AC9"/>
    <mergeCell ref="AE10:AE11"/>
    <mergeCell ref="AF10:AF11"/>
    <mergeCell ref="AD10:AD11"/>
    <mergeCell ref="AD36:AD37"/>
    <mergeCell ref="AG6:AG7"/>
    <mergeCell ref="AD6:AD7"/>
    <mergeCell ref="AG8:AG9"/>
    <mergeCell ref="AE6:AE7"/>
    <mergeCell ref="AF6:AF7"/>
    <mergeCell ref="AE8:AE9"/>
    <mergeCell ref="AG38:AG39"/>
    <mergeCell ref="AE32:AE33"/>
    <mergeCell ref="AE36:AE37"/>
    <mergeCell ref="AD3:AD5"/>
    <mergeCell ref="AE3:AE5"/>
    <mergeCell ref="AF3:AF5"/>
    <mergeCell ref="AF8:AF9"/>
    <mergeCell ref="AD32:AD33"/>
    <mergeCell ref="AF34:AF35"/>
    <mergeCell ref="AE12:AE13"/>
    <mergeCell ref="AF16:AF17"/>
    <mergeCell ref="AG16:AG17"/>
    <mergeCell ref="AF18:AF19"/>
    <mergeCell ref="AG18:AG19"/>
    <mergeCell ref="AG32:AG33"/>
    <mergeCell ref="AG34:AG35"/>
    <mergeCell ref="AG10:AG11"/>
    <mergeCell ref="AG12:AG13"/>
    <mergeCell ref="AG36:AG37"/>
    <mergeCell ref="AF36:AF37"/>
    <mergeCell ref="AF12:AF13"/>
    <mergeCell ref="AF32:AF33"/>
    <mergeCell ref="AG20:AG21"/>
    <mergeCell ref="AF24:AF25"/>
    <mergeCell ref="AG24:AG25"/>
    <mergeCell ref="AG26:AG27"/>
    <mergeCell ref="H61:H62"/>
    <mergeCell ref="P57:P58"/>
    <mergeCell ref="P45:T45"/>
    <mergeCell ref="P44:T44"/>
    <mergeCell ref="F47:J47"/>
    <mergeCell ref="S61:S62"/>
    <mergeCell ref="M53:N54"/>
    <mergeCell ref="S53:S54"/>
    <mergeCell ref="I57:J58"/>
    <mergeCell ref="K45:O45"/>
    <mergeCell ref="D67:E67"/>
    <mergeCell ref="C53:D54"/>
    <mergeCell ref="F67:M67"/>
    <mergeCell ref="N67:O67"/>
    <mergeCell ref="K57:K58"/>
    <mergeCell ref="P67:W67"/>
    <mergeCell ref="W53:X54"/>
    <mergeCell ref="W61:X62"/>
    <mergeCell ref="Q57:R58"/>
    <mergeCell ref="M60:N61"/>
    <mergeCell ref="M58:N59"/>
    <mergeCell ref="AI6:AI7"/>
    <mergeCell ref="AJ6:AJ7"/>
    <mergeCell ref="AK6:AK7"/>
    <mergeCell ref="AI8:AI9"/>
    <mergeCell ref="AJ8:AJ9"/>
    <mergeCell ref="AK8:AK9"/>
    <mergeCell ref="AI10:AI11"/>
    <mergeCell ref="AJ10:AJ11"/>
    <mergeCell ref="AI34:AI35"/>
    <mergeCell ref="AJ34:AJ35"/>
    <mergeCell ref="AK34:AK35"/>
    <mergeCell ref="AK10:AK11"/>
    <mergeCell ref="AI12:AI13"/>
    <mergeCell ref="AJ12:AJ13"/>
    <mergeCell ref="AK12:AK13"/>
    <mergeCell ref="AJ24:AJ25"/>
    <mergeCell ref="AI26:AI27"/>
    <mergeCell ref="AJ26:AJ27"/>
    <mergeCell ref="AI28:AI29"/>
    <mergeCell ref="N2:W2"/>
    <mergeCell ref="AI36:AI37"/>
    <mergeCell ref="AJ36:AJ37"/>
    <mergeCell ref="AK36:AK37"/>
    <mergeCell ref="AI38:AI39"/>
    <mergeCell ref="AJ38:AJ39"/>
    <mergeCell ref="AK38:AK39"/>
    <mergeCell ref="AI32:AI33"/>
    <mergeCell ref="AJ32:AJ33"/>
    <mergeCell ref="AK32:AK33"/>
    <mergeCell ref="B15:F15"/>
    <mergeCell ref="G15:I15"/>
    <mergeCell ref="J15:L15"/>
    <mergeCell ref="M15:O15"/>
    <mergeCell ref="B16:B17"/>
    <mergeCell ref="C16:F17"/>
    <mergeCell ref="S16:S17"/>
    <mergeCell ref="T16:T17"/>
    <mergeCell ref="U16:U17"/>
    <mergeCell ref="V16:V17"/>
    <mergeCell ref="W16:W17"/>
    <mergeCell ref="X16:X17"/>
    <mergeCell ref="B18:B19"/>
    <mergeCell ref="C18:F19"/>
    <mergeCell ref="S18:S19"/>
    <mergeCell ref="T18:T19"/>
    <mergeCell ref="U18:U19"/>
    <mergeCell ref="V18:V19"/>
    <mergeCell ref="B26:B27"/>
    <mergeCell ref="C26:F27"/>
    <mergeCell ref="S26:S27"/>
    <mergeCell ref="W20:W21"/>
    <mergeCell ref="X20:X21"/>
    <mergeCell ref="Y20:Y21"/>
    <mergeCell ref="B20:B21"/>
    <mergeCell ref="C20:F21"/>
    <mergeCell ref="S20:S21"/>
    <mergeCell ref="T20:T21"/>
    <mergeCell ref="B24:B25"/>
    <mergeCell ref="C24:F25"/>
    <mergeCell ref="S24:S25"/>
    <mergeCell ref="T24:T25"/>
    <mergeCell ref="U24:U25"/>
    <mergeCell ref="V24:V25"/>
    <mergeCell ref="T26:T27"/>
    <mergeCell ref="U26:U27"/>
    <mergeCell ref="V26:V27"/>
    <mergeCell ref="X26:X27"/>
    <mergeCell ref="Y26:Y27"/>
    <mergeCell ref="B28:B29"/>
    <mergeCell ref="C28:F29"/>
    <mergeCell ref="S28:S29"/>
    <mergeCell ref="T28:T29"/>
    <mergeCell ref="U28:U29"/>
    <mergeCell ref="V28:V29"/>
    <mergeCell ref="W28:W29"/>
    <mergeCell ref="X28:X29"/>
    <mergeCell ref="Y28:Y29"/>
    <mergeCell ref="AA16:AA17"/>
    <mergeCell ref="AB16:AB17"/>
    <mergeCell ref="AA20:AA21"/>
    <mergeCell ref="AB20:AB21"/>
    <mergeCell ref="AA24:AA25"/>
    <mergeCell ref="AB24:AB25"/>
    <mergeCell ref="AD16:AD17"/>
    <mergeCell ref="AE16:AE17"/>
    <mergeCell ref="AA18:AA19"/>
    <mergeCell ref="AB18:AB19"/>
    <mergeCell ref="AC18:AC19"/>
    <mergeCell ref="AD18:AD19"/>
    <mergeCell ref="AC20:AC21"/>
    <mergeCell ref="AD20:AD21"/>
    <mergeCell ref="AE20:AE21"/>
    <mergeCell ref="AF20:AF21"/>
    <mergeCell ref="B23:F23"/>
    <mergeCell ref="G23:I23"/>
    <mergeCell ref="J23:L23"/>
    <mergeCell ref="M23:O23"/>
    <mergeCell ref="U20:U21"/>
    <mergeCell ref="V20:V21"/>
    <mergeCell ref="W24:W25"/>
    <mergeCell ref="X24:X25"/>
    <mergeCell ref="Y24:Y25"/>
    <mergeCell ref="AA26:AA27"/>
    <mergeCell ref="AB26:AB27"/>
    <mergeCell ref="AC26:AC27"/>
    <mergeCell ref="W26:W27"/>
    <mergeCell ref="AD26:AD27"/>
    <mergeCell ref="AE26:AE27"/>
    <mergeCell ref="AF26:AF27"/>
    <mergeCell ref="AA28:AA29"/>
    <mergeCell ref="AB28:AB29"/>
    <mergeCell ref="AC28:AC29"/>
    <mergeCell ref="AD28:AD29"/>
    <mergeCell ref="AE28:AE29"/>
    <mergeCell ref="AF28:AF29"/>
    <mergeCell ref="AJ28:AJ29"/>
    <mergeCell ref="AG28:AG29"/>
    <mergeCell ref="AI16:AI17"/>
    <mergeCell ref="AJ16:AJ17"/>
    <mergeCell ref="AI18:AI19"/>
    <mergeCell ref="AJ18:AJ19"/>
    <mergeCell ref="AI20:AI21"/>
    <mergeCell ref="AJ20:AJ21"/>
    <mergeCell ref="AI24:AI25"/>
  </mergeCells>
  <printOptions horizontalCentered="1"/>
  <pageMargins left="0.2755905511811024" right="0.1968503937007874" top="0.2362204724409449" bottom="0.2362204724409449" header="0.1968503937007874" footer="0.1968503937007874"/>
  <pageSetup horizontalDpi="600" verticalDpi="600" orientation="portrait" paperSize="9" scale="87" r:id="rId2"/>
  <ignoredErrors>
    <ignoredError sqref="S24:X29 S16:X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AP32"/>
  <sheetViews>
    <sheetView zoomScalePageLayoutView="0" workbookViewId="0" topLeftCell="A22">
      <selection activeCell="AE29" sqref="AE29"/>
    </sheetView>
  </sheetViews>
  <sheetFormatPr defaultColWidth="2.625" defaultRowHeight="15.75" customHeight="1"/>
  <cols>
    <col min="1" max="1" width="1.875" style="58" customWidth="1"/>
    <col min="2" max="2" width="2.75390625" style="58" bestFit="1" customWidth="1"/>
    <col min="3" max="3" width="4.25390625" style="58" customWidth="1"/>
    <col min="4" max="4" width="2.625" style="58" customWidth="1"/>
    <col min="5" max="21" width="2.125" style="58" customWidth="1"/>
    <col min="22" max="24" width="2.625" style="58" customWidth="1"/>
    <col min="25" max="41" width="2.125" style="58" customWidth="1"/>
    <col min="42" max="43" width="1.75390625" style="58" customWidth="1"/>
    <col min="44" max="16384" width="2.625" style="58" customWidth="1"/>
  </cols>
  <sheetData>
    <row r="1" ht="15.75" customHeight="1" thickBot="1"/>
    <row r="2" spans="2:41" ht="15.75" customHeight="1">
      <c r="B2" s="261" t="s">
        <v>134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3"/>
    </row>
    <row r="3" spans="2:42" s="59" customFormat="1" ht="9.75" customHeight="1" thickBot="1"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6"/>
      <c r="AP3" s="60"/>
    </row>
    <row r="4" spans="3:42" s="59" customFormat="1" ht="10.5" customHeigh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0"/>
      <c r="AP4" s="60"/>
    </row>
    <row r="5" spans="2:42" s="59" customFormat="1" ht="16.5" customHeight="1">
      <c r="B5" s="62" t="s">
        <v>20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0"/>
      <c r="AN5" s="60"/>
      <c r="AO5" s="60"/>
      <c r="AP5" s="60"/>
    </row>
    <row r="6" spans="2:42" s="66" customFormat="1" ht="24" customHeight="1">
      <c r="B6" s="64"/>
      <c r="C6" s="65" t="s">
        <v>93</v>
      </c>
      <c r="D6" s="65"/>
      <c r="E6" s="65"/>
      <c r="F6" s="65"/>
      <c r="G6" s="65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68"/>
      <c r="AO6" s="68"/>
      <c r="AP6" s="68"/>
    </row>
    <row r="7" spans="3:42" s="66" customFormat="1" ht="25.5" customHeight="1">
      <c r="C7" s="65"/>
      <c r="D7" s="65"/>
      <c r="E7" s="65"/>
      <c r="F7" s="65" t="s">
        <v>92</v>
      </c>
      <c r="G7" s="65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68"/>
      <c r="AO7" s="68"/>
      <c r="AP7" s="68"/>
    </row>
    <row r="8" spans="3:42" s="66" customFormat="1" ht="16.5" customHeight="1" thickBot="1">
      <c r="C8" s="65"/>
      <c r="D8" s="65"/>
      <c r="E8" s="65"/>
      <c r="F8" s="69"/>
      <c r="G8" s="65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8"/>
      <c r="AO8" s="68"/>
      <c r="AP8" s="68"/>
    </row>
    <row r="9" spans="2:42" s="70" customFormat="1" ht="21.75" customHeight="1">
      <c r="B9" s="228">
        <v>1</v>
      </c>
      <c r="C9" s="230">
        <v>21</v>
      </c>
      <c r="D9" s="223" t="s">
        <v>135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5"/>
      <c r="AP9" s="68"/>
    </row>
    <row r="10" spans="2:42" s="70" customFormat="1" ht="18" customHeight="1" thickBot="1">
      <c r="B10" s="229"/>
      <c r="C10" s="231"/>
      <c r="D10" s="71"/>
      <c r="E10" s="206" t="s">
        <v>109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9"/>
      <c r="W10" s="210"/>
      <c r="X10" s="72"/>
      <c r="Y10" s="206" t="s">
        <v>110</v>
      </c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27"/>
      <c r="AP10" s="68"/>
    </row>
    <row r="11" spans="2:42" s="70" customFormat="1" ht="18" customHeight="1">
      <c r="B11" s="229"/>
      <c r="C11" s="231"/>
      <c r="D11" s="73" t="s">
        <v>23</v>
      </c>
      <c r="E11" s="256" t="s">
        <v>22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67"/>
      <c r="P11" s="256" t="s">
        <v>99</v>
      </c>
      <c r="Q11" s="257"/>
      <c r="R11" s="257"/>
      <c r="S11" s="257"/>
      <c r="T11" s="257"/>
      <c r="U11" s="267"/>
      <c r="V11" s="268" t="s">
        <v>21</v>
      </c>
      <c r="W11" s="269"/>
      <c r="X11" s="74" t="s">
        <v>23</v>
      </c>
      <c r="Y11" s="256" t="s">
        <v>22</v>
      </c>
      <c r="Z11" s="257"/>
      <c r="AA11" s="257"/>
      <c r="AB11" s="257"/>
      <c r="AC11" s="257"/>
      <c r="AD11" s="257"/>
      <c r="AE11" s="257"/>
      <c r="AF11" s="257"/>
      <c r="AG11" s="257"/>
      <c r="AH11" s="257"/>
      <c r="AI11" s="267"/>
      <c r="AJ11" s="256" t="s">
        <v>99</v>
      </c>
      <c r="AK11" s="257"/>
      <c r="AL11" s="257"/>
      <c r="AM11" s="257"/>
      <c r="AN11" s="257"/>
      <c r="AO11" s="258"/>
      <c r="AP11" s="68"/>
    </row>
    <row r="12" spans="2:42" s="70" customFormat="1" ht="33" customHeight="1">
      <c r="B12" s="229"/>
      <c r="C12" s="231"/>
      <c r="D12" s="75" t="s">
        <v>57</v>
      </c>
      <c r="E12" s="205" t="str">
        <f>'リーグ記録用'!$C$6</f>
        <v>シエロFC</v>
      </c>
      <c r="F12" s="203"/>
      <c r="G12" s="203"/>
      <c r="H12" s="203"/>
      <c r="I12" s="17">
        <v>1</v>
      </c>
      <c r="J12" s="17" t="s">
        <v>52</v>
      </c>
      <c r="K12" s="17">
        <v>2</v>
      </c>
      <c r="L12" s="203" t="str">
        <f>'リーグ記録用'!C8</f>
        <v>福良FC</v>
      </c>
      <c r="M12" s="203"/>
      <c r="N12" s="203"/>
      <c r="O12" s="204"/>
      <c r="P12" s="150" t="str">
        <f>E13</f>
        <v>三原少年団</v>
      </c>
      <c r="Q12" s="151"/>
      <c r="R12" s="151"/>
      <c r="S12" s="151"/>
      <c r="T12" s="151"/>
      <c r="U12" s="152"/>
      <c r="V12" s="237">
        <v>0.4166666666666667</v>
      </c>
      <c r="W12" s="238"/>
      <c r="X12" s="76" t="s">
        <v>57</v>
      </c>
      <c r="Y12" s="205" t="str">
        <f>'リーグ記録用'!C10</f>
        <v>一宮FC</v>
      </c>
      <c r="Z12" s="203"/>
      <c r="AA12" s="203"/>
      <c r="AB12" s="203"/>
      <c r="AC12" s="17">
        <v>1</v>
      </c>
      <c r="AD12" s="17" t="s">
        <v>52</v>
      </c>
      <c r="AE12" s="17">
        <v>0</v>
      </c>
      <c r="AF12" s="203" t="str">
        <f>'リーグ記録用'!C12</f>
        <v>FC大野</v>
      </c>
      <c r="AG12" s="203"/>
      <c r="AH12" s="203"/>
      <c r="AI12" s="204"/>
      <c r="AJ12" s="150" t="str">
        <f>AF14</f>
        <v>五色FC</v>
      </c>
      <c r="AK12" s="151"/>
      <c r="AL12" s="151"/>
      <c r="AM12" s="151"/>
      <c r="AN12" s="151"/>
      <c r="AO12" s="259"/>
      <c r="AP12" s="68"/>
    </row>
    <row r="13" spans="2:42" s="70" customFormat="1" ht="33" customHeight="1">
      <c r="B13" s="229"/>
      <c r="C13" s="231"/>
      <c r="D13" s="75" t="s">
        <v>116</v>
      </c>
      <c r="E13" s="150" t="str">
        <f>'リーグ記録用'!C32</f>
        <v>三原少年団</v>
      </c>
      <c r="F13" s="151"/>
      <c r="G13" s="151"/>
      <c r="H13" s="151"/>
      <c r="I13" s="17">
        <v>3</v>
      </c>
      <c r="J13" s="17" t="s">
        <v>52</v>
      </c>
      <c r="K13" s="17">
        <v>3</v>
      </c>
      <c r="L13" s="151" t="str">
        <f>'リーグ記録用'!C34</f>
        <v>FCシロッコ</v>
      </c>
      <c r="M13" s="151"/>
      <c r="N13" s="151"/>
      <c r="O13" s="152"/>
      <c r="P13" s="150" t="str">
        <f>L14</f>
        <v>洲本FC</v>
      </c>
      <c r="Q13" s="151"/>
      <c r="R13" s="151"/>
      <c r="S13" s="151" t="s">
        <v>91</v>
      </c>
      <c r="T13" s="151"/>
      <c r="U13" s="152"/>
      <c r="V13" s="218">
        <v>0.4583333333333333</v>
      </c>
      <c r="W13" s="219"/>
      <c r="X13" s="76" t="s">
        <v>59</v>
      </c>
      <c r="Y13" s="150" t="str">
        <f>'リーグ記録用'!C36</f>
        <v>岩屋FC</v>
      </c>
      <c r="Z13" s="151"/>
      <c r="AA13" s="151"/>
      <c r="AB13" s="151"/>
      <c r="AC13" s="17">
        <v>1</v>
      </c>
      <c r="AD13" s="17" t="s">
        <v>9</v>
      </c>
      <c r="AE13" s="17">
        <v>1</v>
      </c>
      <c r="AF13" s="151" t="str">
        <f>'リーグ記録用'!C38</f>
        <v>東浦FC</v>
      </c>
      <c r="AG13" s="151"/>
      <c r="AH13" s="151"/>
      <c r="AI13" s="152"/>
      <c r="AJ13" s="150" t="str">
        <f>Y12</f>
        <v>一宮FC</v>
      </c>
      <c r="AK13" s="151"/>
      <c r="AL13" s="151"/>
      <c r="AM13" s="151" t="s">
        <v>90</v>
      </c>
      <c r="AN13" s="151"/>
      <c r="AO13" s="259"/>
      <c r="AP13" s="68"/>
    </row>
    <row r="14" spans="2:42" s="70" customFormat="1" ht="33" customHeight="1">
      <c r="B14" s="229"/>
      <c r="C14" s="231"/>
      <c r="D14" s="75" t="s">
        <v>105</v>
      </c>
      <c r="E14" s="150" t="str">
        <f>'リーグ記録用'!C24</f>
        <v>ダイナマイト</v>
      </c>
      <c r="F14" s="151"/>
      <c r="G14" s="151"/>
      <c r="H14" s="151"/>
      <c r="I14" s="17">
        <v>3</v>
      </c>
      <c r="J14" s="17" t="s">
        <v>52</v>
      </c>
      <c r="K14" s="17">
        <v>0</v>
      </c>
      <c r="L14" s="151" t="str">
        <f>'リーグ記録用'!C26</f>
        <v>洲本FC</v>
      </c>
      <c r="M14" s="151"/>
      <c r="N14" s="151"/>
      <c r="O14" s="152"/>
      <c r="P14" s="150" t="str">
        <f>L12</f>
        <v>福良FC</v>
      </c>
      <c r="Q14" s="151"/>
      <c r="R14" s="151"/>
      <c r="S14" s="151"/>
      <c r="T14" s="151"/>
      <c r="U14" s="152"/>
      <c r="V14" s="218">
        <v>0.5</v>
      </c>
      <c r="W14" s="219"/>
      <c r="X14" s="76" t="s">
        <v>104</v>
      </c>
      <c r="Y14" s="150" t="str">
        <f>'リーグ記録用'!C16</f>
        <v>西淡SSS</v>
      </c>
      <c r="Z14" s="151"/>
      <c r="AA14" s="151"/>
      <c r="AB14" s="151"/>
      <c r="AC14" s="17">
        <v>3</v>
      </c>
      <c r="AD14" s="17" t="s">
        <v>9</v>
      </c>
      <c r="AE14" s="17">
        <v>4</v>
      </c>
      <c r="AF14" s="151" t="str">
        <f>'リーグ記録用'!C18</f>
        <v>五色FC</v>
      </c>
      <c r="AG14" s="151"/>
      <c r="AH14" s="151"/>
      <c r="AI14" s="152"/>
      <c r="AJ14" s="150" t="str">
        <f>Y13</f>
        <v>岩屋FC</v>
      </c>
      <c r="AK14" s="151"/>
      <c r="AL14" s="151"/>
      <c r="AM14" s="151" t="s">
        <v>90</v>
      </c>
      <c r="AN14" s="151"/>
      <c r="AO14" s="259"/>
      <c r="AP14" s="68"/>
    </row>
    <row r="15" spans="2:42" s="70" customFormat="1" ht="33" customHeight="1">
      <c r="B15" s="229"/>
      <c r="C15" s="231"/>
      <c r="D15" s="75" t="s">
        <v>57</v>
      </c>
      <c r="E15" s="150" t="str">
        <f>E12</f>
        <v>シエロFC</v>
      </c>
      <c r="F15" s="151"/>
      <c r="G15" s="151"/>
      <c r="H15" s="151"/>
      <c r="I15" s="17">
        <v>7</v>
      </c>
      <c r="J15" s="17" t="s">
        <v>52</v>
      </c>
      <c r="K15" s="17">
        <v>1</v>
      </c>
      <c r="L15" s="151" t="str">
        <f>AF12</f>
        <v>FC大野</v>
      </c>
      <c r="M15" s="151"/>
      <c r="N15" s="151"/>
      <c r="O15" s="152"/>
      <c r="P15" s="150" t="str">
        <f>E17</f>
        <v>ダイナマイト</v>
      </c>
      <c r="Q15" s="151"/>
      <c r="R15" s="151"/>
      <c r="S15" s="151" t="s">
        <v>90</v>
      </c>
      <c r="T15" s="151"/>
      <c r="U15" s="152"/>
      <c r="V15" s="218">
        <v>0.5416666666666666</v>
      </c>
      <c r="W15" s="219"/>
      <c r="X15" s="76" t="s">
        <v>57</v>
      </c>
      <c r="Y15" s="150" t="str">
        <f>L12</f>
        <v>福良FC</v>
      </c>
      <c r="Z15" s="151"/>
      <c r="AA15" s="151"/>
      <c r="AB15" s="151"/>
      <c r="AC15" s="17">
        <v>1</v>
      </c>
      <c r="AD15" s="17" t="s">
        <v>9</v>
      </c>
      <c r="AE15" s="17">
        <v>4</v>
      </c>
      <c r="AF15" s="151" t="str">
        <f>Y12</f>
        <v>一宮FC</v>
      </c>
      <c r="AG15" s="151"/>
      <c r="AH15" s="151"/>
      <c r="AI15" s="152"/>
      <c r="AJ15" s="150" t="str">
        <f>Y14</f>
        <v>西淡SSS</v>
      </c>
      <c r="AK15" s="151"/>
      <c r="AL15" s="151"/>
      <c r="AM15" s="151" t="s">
        <v>90</v>
      </c>
      <c r="AN15" s="151"/>
      <c r="AO15" s="259"/>
      <c r="AP15" s="68"/>
    </row>
    <row r="16" spans="2:42" s="70" customFormat="1" ht="33" customHeight="1">
      <c r="B16" s="229"/>
      <c r="C16" s="231"/>
      <c r="D16" s="75" t="s">
        <v>116</v>
      </c>
      <c r="E16" s="150" t="str">
        <f>E13</f>
        <v>三原少年団</v>
      </c>
      <c r="F16" s="151"/>
      <c r="G16" s="151"/>
      <c r="H16" s="151"/>
      <c r="I16" s="17">
        <v>6</v>
      </c>
      <c r="J16" s="17" t="s">
        <v>52</v>
      </c>
      <c r="K16" s="17">
        <v>1</v>
      </c>
      <c r="L16" s="151" t="str">
        <f>AF13</f>
        <v>東浦FC</v>
      </c>
      <c r="M16" s="151"/>
      <c r="N16" s="151"/>
      <c r="O16" s="152"/>
      <c r="P16" s="150" t="str">
        <f>L15</f>
        <v>FC大野</v>
      </c>
      <c r="Q16" s="151"/>
      <c r="R16" s="151"/>
      <c r="S16" s="151" t="s">
        <v>90</v>
      </c>
      <c r="T16" s="151"/>
      <c r="U16" s="152"/>
      <c r="V16" s="218">
        <v>0.5833333333333334</v>
      </c>
      <c r="W16" s="219"/>
      <c r="X16" s="76" t="s">
        <v>59</v>
      </c>
      <c r="Y16" s="150" t="str">
        <f>L13</f>
        <v>FCシロッコ</v>
      </c>
      <c r="Z16" s="151"/>
      <c r="AA16" s="151"/>
      <c r="AB16" s="151"/>
      <c r="AC16" s="17">
        <v>6</v>
      </c>
      <c r="AD16" s="17" t="s">
        <v>9</v>
      </c>
      <c r="AE16" s="17">
        <v>0</v>
      </c>
      <c r="AF16" s="151" t="str">
        <f>Y13</f>
        <v>岩屋FC</v>
      </c>
      <c r="AG16" s="151"/>
      <c r="AH16" s="151"/>
      <c r="AI16" s="152"/>
      <c r="AJ16" s="150" t="str">
        <f>AF17</f>
        <v>Awaji</v>
      </c>
      <c r="AK16" s="151"/>
      <c r="AL16" s="151"/>
      <c r="AM16" s="151" t="s">
        <v>90</v>
      </c>
      <c r="AN16" s="151"/>
      <c r="AO16" s="259"/>
      <c r="AP16" s="68"/>
    </row>
    <row r="17" spans="2:42" s="70" customFormat="1" ht="33" customHeight="1" thickBot="1">
      <c r="B17" s="229"/>
      <c r="C17" s="231"/>
      <c r="D17" s="75" t="s">
        <v>58</v>
      </c>
      <c r="E17" s="150" t="str">
        <f>E14</f>
        <v>ダイナマイト</v>
      </c>
      <c r="F17" s="151"/>
      <c r="G17" s="151"/>
      <c r="H17" s="151"/>
      <c r="I17" s="17">
        <v>2</v>
      </c>
      <c r="J17" s="17" t="s">
        <v>9</v>
      </c>
      <c r="K17" s="17">
        <v>1</v>
      </c>
      <c r="L17" s="151" t="str">
        <f>'リーグ記録用'!C28</f>
        <v>北淡FC</v>
      </c>
      <c r="M17" s="151"/>
      <c r="N17" s="151"/>
      <c r="O17" s="152"/>
      <c r="P17" s="220" t="str">
        <f>L16</f>
        <v>東浦FC</v>
      </c>
      <c r="Q17" s="221"/>
      <c r="R17" s="221"/>
      <c r="S17" s="221" t="s">
        <v>90</v>
      </c>
      <c r="T17" s="221"/>
      <c r="U17" s="222"/>
      <c r="V17" s="218">
        <v>0.625</v>
      </c>
      <c r="W17" s="219"/>
      <c r="X17" s="76" t="s">
        <v>104</v>
      </c>
      <c r="Y17" s="150" t="str">
        <f>Y14</f>
        <v>西淡SSS</v>
      </c>
      <c r="Z17" s="151"/>
      <c r="AA17" s="151"/>
      <c r="AB17" s="151"/>
      <c r="AC17" s="17">
        <v>3</v>
      </c>
      <c r="AD17" s="17" t="s">
        <v>9</v>
      </c>
      <c r="AE17" s="17">
        <v>6</v>
      </c>
      <c r="AF17" s="151" t="str">
        <f>'リーグ記録用'!C20</f>
        <v>Awaji</v>
      </c>
      <c r="AG17" s="151"/>
      <c r="AH17" s="151"/>
      <c r="AI17" s="152"/>
      <c r="AJ17" s="150" t="str">
        <f>Y16</f>
        <v>FCシロッコ</v>
      </c>
      <c r="AK17" s="151"/>
      <c r="AL17" s="151"/>
      <c r="AM17" s="151" t="s">
        <v>91</v>
      </c>
      <c r="AN17" s="151"/>
      <c r="AO17" s="259"/>
      <c r="AP17" s="68"/>
    </row>
    <row r="18" spans="2:42" s="70" customFormat="1" ht="21.75" customHeight="1">
      <c r="B18" s="228">
        <v>1</v>
      </c>
      <c r="C18" s="230">
        <v>22</v>
      </c>
      <c r="D18" s="223" t="s">
        <v>136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5"/>
      <c r="AP18" s="68"/>
    </row>
    <row r="19" spans="2:42" s="70" customFormat="1" ht="18" customHeight="1" thickBot="1">
      <c r="B19" s="229"/>
      <c r="C19" s="231"/>
      <c r="D19" s="71"/>
      <c r="E19" s="206" t="s">
        <v>109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8"/>
      <c r="V19" s="209"/>
      <c r="W19" s="210"/>
      <c r="X19" s="72"/>
      <c r="Y19" s="206" t="s">
        <v>110</v>
      </c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27"/>
      <c r="AP19" s="68"/>
    </row>
    <row r="20" spans="2:42" s="70" customFormat="1" ht="33" customHeight="1">
      <c r="B20" s="229"/>
      <c r="C20" s="231"/>
      <c r="D20" s="77" t="s">
        <v>58</v>
      </c>
      <c r="E20" s="150" t="str">
        <f>L14</f>
        <v>洲本FC</v>
      </c>
      <c r="F20" s="151"/>
      <c r="G20" s="151"/>
      <c r="H20" s="151"/>
      <c r="I20" s="16">
        <v>6</v>
      </c>
      <c r="J20" s="16" t="s">
        <v>9</v>
      </c>
      <c r="K20" s="16">
        <v>2</v>
      </c>
      <c r="L20" s="151" t="str">
        <f>L17</f>
        <v>北淡FC</v>
      </c>
      <c r="M20" s="151"/>
      <c r="N20" s="151"/>
      <c r="O20" s="152"/>
      <c r="P20" s="211" t="str">
        <f>E22</f>
        <v>シエロFC</v>
      </c>
      <c r="Q20" s="212"/>
      <c r="R20" s="212"/>
      <c r="S20" s="212"/>
      <c r="T20" s="212"/>
      <c r="U20" s="213"/>
      <c r="V20" s="216">
        <v>0.4166666666666667</v>
      </c>
      <c r="W20" s="217"/>
      <c r="X20" s="53" t="s">
        <v>104</v>
      </c>
      <c r="Y20" s="150" t="str">
        <f>AF14</f>
        <v>五色FC</v>
      </c>
      <c r="Z20" s="151"/>
      <c r="AA20" s="151"/>
      <c r="AB20" s="151"/>
      <c r="AC20" s="16">
        <v>1</v>
      </c>
      <c r="AD20" s="16" t="s">
        <v>9</v>
      </c>
      <c r="AE20" s="16">
        <v>7</v>
      </c>
      <c r="AF20" s="151" t="str">
        <f>AF17</f>
        <v>Awaji</v>
      </c>
      <c r="AG20" s="151"/>
      <c r="AH20" s="151"/>
      <c r="AI20" s="152"/>
      <c r="AJ20" s="211" t="str">
        <f>AF21</f>
        <v>東浦FC</v>
      </c>
      <c r="AK20" s="212"/>
      <c r="AL20" s="212"/>
      <c r="AM20" s="212"/>
      <c r="AN20" s="212"/>
      <c r="AO20" s="226"/>
      <c r="AP20" s="68"/>
    </row>
    <row r="21" spans="2:41" s="68" customFormat="1" ht="33" customHeight="1">
      <c r="B21" s="229"/>
      <c r="C21" s="231"/>
      <c r="D21" s="75" t="s">
        <v>116</v>
      </c>
      <c r="E21" s="205" t="str">
        <f>E13</f>
        <v>三原少年団</v>
      </c>
      <c r="F21" s="203"/>
      <c r="G21" s="203"/>
      <c r="H21" s="203"/>
      <c r="I21" s="17">
        <v>4</v>
      </c>
      <c r="J21" s="17" t="s">
        <v>9</v>
      </c>
      <c r="K21" s="17">
        <v>1</v>
      </c>
      <c r="L21" s="203" t="str">
        <f>Y13</f>
        <v>岩屋FC</v>
      </c>
      <c r="M21" s="203"/>
      <c r="N21" s="203"/>
      <c r="O21" s="204"/>
      <c r="P21" s="150" t="str">
        <f>L17</f>
        <v>北淡FC</v>
      </c>
      <c r="Q21" s="151"/>
      <c r="R21" s="151"/>
      <c r="S21" s="151" t="s">
        <v>130</v>
      </c>
      <c r="T21" s="151"/>
      <c r="U21" s="152"/>
      <c r="V21" s="214">
        <v>0.4583333333333333</v>
      </c>
      <c r="W21" s="215"/>
      <c r="X21" s="76" t="s">
        <v>59</v>
      </c>
      <c r="Y21" s="205" t="str">
        <f>L13</f>
        <v>FCシロッコ</v>
      </c>
      <c r="Z21" s="203"/>
      <c r="AA21" s="203"/>
      <c r="AB21" s="203"/>
      <c r="AC21" s="17">
        <v>3</v>
      </c>
      <c r="AD21" s="17" t="s">
        <v>9</v>
      </c>
      <c r="AE21" s="17">
        <v>1</v>
      </c>
      <c r="AF21" s="203" t="str">
        <f>AF13</f>
        <v>東浦FC</v>
      </c>
      <c r="AG21" s="203"/>
      <c r="AH21" s="203"/>
      <c r="AI21" s="204"/>
      <c r="AJ21" s="150" t="str">
        <f>AF20</f>
        <v>Awaji</v>
      </c>
      <c r="AK21" s="151"/>
      <c r="AL21" s="151"/>
      <c r="AM21" s="151" t="s">
        <v>90</v>
      </c>
      <c r="AN21" s="151"/>
      <c r="AO21" s="259"/>
    </row>
    <row r="22" spans="2:42" s="70" customFormat="1" ht="33" customHeight="1">
      <c r="B22" s="229"/>
      <c r="C22" s="231"/>
      <c r="D22" s="75" t="s">
        <v>57</v>
      </c>
      <c r="E22" s="205" t="str">
        <f>E12</f>
        <v>シエロFC</v>
      </c>
      <c r="F22" s="203"/>
      <c r="G22" s="203"/>
      <c r="H22" s="203"/>
      <c r="I22" s="17">
        <v>4</v>
      </c>
      <c r="J22" s="17" t="s">
        <v>62</v>
      </c>
      <c r="K22" s="17">
        <v>2</v>
      </c>
      <c r="L22" s="203" t="str">
        <f>Y12</f>
        <v>一宮FC</v>
      </c>
      <c r="M22" s="203"/>
      <c r="N22" s="203"/>
      <c r="O22" s="204"/>
      <c r="P22" s="150" t="str">
        <f>E21</f>
        <v>三原少年団</v>
      </c>
      <c r="Q22" s="151"/>
      <c r="R22" s="151"/>
      <c r="S22" s="151" t="s">
        <v>130</v>
      </c>
      <c r="T22" s="151"/>
      <c r="U22" s="152"/>
      <c r="V22" s="214">
        <v>0.5</v>
      </c>
      <c r="W22" s="215"/>
      <c r="X22" s="76" t="s">
        <v>57</v>
      </c>
      <c r="Y22" s="205" t="str">
        <f>L12</f>
        <v>福良FC</v>
      </c>
      <c r="Z22" s="203"/>
      <c r="AA22" s="203"/>
      <c r="AB22" s="203"/>
      <c r="AC22" s="17">
        <v>1</v>
      </c>
      <c r="AD22" s="17" t="s">
        <v>9</v>
      </c>
      <c r="AE22" s="17">
        <v>1</v>
      </c>
      <c r="AF22" s="203" t="str">
        <f>AF12</f>
        <v>FC大野</v>
      </c>
      <c r="AG22" s="203"/>
      <c r="AH22" s="203"/>
      <c r="AI22" s="204"/>
      <c r="AJ22" s="150" t="str">
        <f>Y21</f>
        <v>FCシロッコ</v>
      </c>
      <c r="AK22" s="151"/>
      <c r="AL22" s="151"/>
      <c r="AM22" s="151"/>
      <c r="AN22" s="151"/>
      <c r="AO22" s="259"/>
      <c r="AP22" s="68"/>
    </row>
    <row r="23" spans="2:42" s="70" customFormat="1" ht="33" customHeight="1">
      <c r="B23" s="229"/>
      <c r="C23" s="231"/>
      <c r="D23" s="77" t="s">
        <v>107</v>
      </c>
      <c r="E23" s="150" t="str">
        <f>'リーグ記録用'!F46</f>
        <v>ダイナマイト</v>
      </c>
      <c r="F23" s="151"/>
      <c r="G23" s="151"/>
      <c r="H23" s="151"/>
      <c r="I23" s="16">
        <v>2</v>
      </c>
      <c r="J23" s="16" t="s">
        <v>62</v>
      </c>
      <c r="K23" s="16">
        <v>2</v>
      </c>
      <c r="L23" s="151" t="str">
        <f>'リーグ記録用'!K45</f>
        <v>五色FC</v>
      </c>
      <c r="M23" s="151"/>
      <c r="N23" s="151"/>
      <c r="O23" s="152"/>
      <c r="P23" s="150" t="str">
        <f>E24</f>
        <v>シエロFC</v>
      </c>
      <c r="Q23" s="151"/>
      <c r="R23" s="151"/>
      <c r="S23" s="151"/>
      <c r="T23" s="151"/>
      <c r="U23" s="152"/>
      <c r="V23" s="216">
        <v>0.5625</v>
      </c>
      <c r="W23" s="217"/>
      <c r="X23" s="53" t="s">
        <v>64</v>
      </c>
      <c r="Y23" s="150" t="str">
        <f>'リーグ記録用'!F45</f>
        <v>Awaji</v>
      </c>
      <c r="Z23" s="151"/>
      <c r="AA23" s="151"/>
      <c r="AB23" s="151"/>
      <c r="AC23" s="16">
        <v>4</v>
      </c>
      <c r="AD23" s="16" t="s">
        <v>62</v>
      </c>
      <c r="AE23" s="16">
        <v>0</v>
      </c>
      <c r="AF23" s="151" t="str">
        <f>'リーグ記録用'!K46</f>
        <v>洲本FC</v>
      </c>
      <c r="AG23" s="151"/>
      <c r="AH23" s="151"/>
      <c r="AI23" s="152"/>
      <c r="AJ23" s="150" t="str">
        <f>Y24</f>
        <v>三原少年団</v>
      </c>
      <c r="AK23" s="151"/>
      <c r="AL23" s="151"/>
      <c r="AM23" s="151"/>
      <c r="AN23" s="151"/>
      <c r="AO23" s="259"/>
      <c r="AP23" s="68"/>
    </row>
    <row r="24" spans="2:42" s="70" customFormat="1" ht="33" customHeight="1" thickBot="1">
      <c r="B24" s="229"/>
      <c r="C24" s="231"/>
      <c r="D24" s="78" t="s">
        <v>63</v>
      </c>
      <c r="E24" s="234" t="str">
        <f>'リーグ記録用'!F44</f>
        <v>シエロFC</v>
      </c>
      <c r="F24" s="232"/>
      <c r="G24" s="232"/>
      <c r="H24" s="232"/>
      <c r="I24" s="28">
        <v>4</v>
      </c>
      <c r="J24" s="28" t="s">
        <v>62</v>
      </c>
      <c r="K24" s="28">
        <v>1</v>
      </c>
      <c r="L24" s="232" t="str">
        <f>'リーグ記録用'!K47</f>
        <v>FCシロッコ</v>
      </c>
      <c r="M24" s="232"/>
      <c r="N24" s="232"/>
      <c r="O24" s="233"/>
      <c r="P24" s="220" t="str">
        <f>E23</f>
        <v>ダイナマイト</v>
      </c>
      <c r="Q24" s="221"/>
      <c r="R24" s="221"/>
      <c r="S24" s="221"/>
      <c r="T24" s="221"/>
      <c r="U24" s="222"/>
      <c r="V24" s="235">
        <v>0.6041666666666666</v>
      </c>
      <c r="W24" s="236"/>
      <c r="X24" s="79" t="s">
        <v>106</v>
      </c>
      <c r="Y24" s="234" t="str">
        <f>'リーグ記録用'!F47</f>
        <v>三原少年団</v>
      </c>
      <c r="Z24" s="232"/>
      <c r="AA24" s="232"/>
      <c r="AB24" s="232"/>
      <c r="AC24" s="28">
        <v>2</v>
      </c>
      <c r="AD24" s="28" t="s">
        <v>62</v>
      </c>
      <c r="AE24" s="28">
        <v>2</v>
      </c>
      <c r="AF24" s="232" t="str">
        <f>'リーグ記録用'!K44</f>
        <v>一宮FC</v>
      </c>
      <c r="AG24" s="232"/>
      <c r="AH24" s="232"/>
      <c r="AI24" s="233"/>
      <c r="AJ24" s="205" t="str">
        <f>Y23</f>
        <v>Awaji</v>
      </c>
      <c r="AK24" s="203"/>
      <c r="AL24" s="203"/>
      <c r="AM24" s="203"/>
      <c r="AN24" s="203"/>
      <c r="AO24" s="260"/>
      <c r="AP24" s="68"/>
    </row>
    <row r="25" spans="2:42" s="70" customFormat="1" ht="21.75" customHeight="1">
      <c r="B25" s="242">
        <v>1</v>
      </c>
      <c r="C25" s="230">
        <v>29</v>
      </c>
      <c r="D25" s="246" t="s">
        <v>137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7"/>
      <c r="AP25" s="68"/>
    </row>
    <row r="26" spans="2:42" s="70" customFormat="1" ht="18" customHeight="1" thickBot="1">
      <c r="B26" s="243"/>
      <c r="C26" s="231"/>
      <c r="D26" s="75"/>
      <c r="E26" s="206" t="s">
        <v>70</v>
      </c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  <c r="V26" s="209"/>
      <c r="W26" s="210"/>
      <c r="X26" s="72"/>
      <c r="Y26" s="206" t="s">
        <v>71</v>
      </c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27"/>
      <c r="AP26" s="68"/>
    </row>
    <row r="27" spans="2:42" s="70" customFormat="1" ht="33" customHeight="1">
      <c r="B27" s="243"/>
      <c r="C27" s="231"/>
      <c r="D27" s="56" t="s">
        <v>65</v>
      </c>
      <c r="E27" s="253" t="str">
        <f>E24</f>
        <v>シエロFC</v>
      </c>
      <c r="F27" s="254"/>
      <c r="G27" s="254"/>
      <c r="H27" s="254"/>
      <c r="I27" s="56">
        <v>2</v>
      </c>
      <c r="J27" s="56" t="s">
        <v>72</v>
      </c>
      <c r="K27" s="56">
        <v>1</v>
      </c>
      <c r="L27" s="254" t="str">
        <f>Y23</f>
        <v>Awaji</v>
      </c>
      <c r="M27" s="254"/>
      <c r="N27" s="254"/>
      <c r="O27" s="255"/>
      <c r="P27" s="211" t="str">
        <f>L23</f>
        <v>五色FC</v>
      </c>
      <c r="Q27" s="212"/>
      <c r="R27" s="212"/>
      <c r="S27" s="212"/>
      <c r="T27" s="212"/>
      <c r="U27" s="213"/>
      <c r="V27" s="240">
        <v>0.3958333333333333</v>
      </c>
      <c r="W27" s="241"/>
      <c r="X27" s="80" t="s">
        <v>67</v>
      </c>
      <c r="Y27" s="211" t="str">
        <f>Y24</f>
        <v>三原少年団</v>
      </c>
      <c r="Z27" s="212"/>
      <c r="AA27" s="212"/>
      <c r="AB27" s="212"/>
      <c r="AC27" s="102">
        <v>1</v>
      </c>
      <c r="AD27" s="102" t="s">
        <v>72</v>
      </c>
      <c r="AE27" s="102">
        <v>1</v>
      </c>
      <c r="AF27" s="212" t="str">
        <f>E23</f>
        <v>ダイナマイト</v>
      </c>
      <c r="AG27" s="212"/>
      <c r="AH27" s="212"/>
      <c r="AI27" s="213"/>
      <c r="AJ27" s="211" t="str">
        <f>AF23</f>
        <v>洲本FC</v>
      </c>
      <c r="AK27" s="212"/>
      <c r="AL27" s="212"/>
      <c r="AM27" s="212"/>
      <c r="AN27" s="212"/>
      <c r="AO27" s="226"/>
      <c r="AP27" s="68"/>
    </row>
    <row r="28" spans="2:42" s="70" customFormat="1" ht="33" customHeight="1" thickBot="1">
      <c r="B28" s="244"/>
      <c r="C28" s="245"/>
      <c r="D28" s="57"/>
      <c r="E28" s="252"/>
      <c r="F28" s="248"/>
      <c r="G28" s="248"/>
      <c r="H28" s="248"/>
      <c r="I28" s="57"/>
      <c r="J28" s="57" t="s">
        <v>68</v>
      </c>
      <c r="K28" s="57"/>
      <c r="L28" s="248"/>
      <c r="M28" s="248"/>
      <c r="N28" s="248"/>
      <c r="O28" s="249"/>
      <c r="P28" s="220"/>
      <c r="Q28" s="221"/>
      <c r="R28" s="221"/>
      <c r="S28" s="221"/>
      <c r="T28" s="221"/>
      <c r="U28" s="222"/>
      <c r="V28" s="250">
        <v>0.4791666666666667</v>
      </c>
      <c r="W28" s="251"/>
      <c r="X28" s="81" t="s">
        <v>132</v>
      </c>
      <c r="Y28" s="220" t="str">
        <f>E27</f>
        <v>シエロFC</v>
      </c>
      <c r="Z28" s="221"/>
      <c r="AA28" s="221"/>
      <c r="AB28" s="221"/>
      <c r="AC28" s="140">
        <v>5</v>
      </c>
      <c r="AD28" s="140" t="s">
        <v>66</v>
      </c>
      <c r="AE28" s="140">
        <v>1</v>
      </c>
      <c r="AF28" s="221" t="str">
        <f>Y27</f>
        <v>三原少年団</v>
      </c>
      <c r="AG28" s="221"/>
      <c r="AH28" s="221"/>
      <c r="AI28" s="222"/>
      <c r="AJ28" s="220" t="str">
        <f>L27</f>
        <v>Awaji</v>
      </c>
      <c r="AK28" s="221"/>
      <c r="AL28" s="221"/>
      <c r="AM28" s="221"/>
      <c r="AN28" s="221"/>
      <c r="AO28" s="239"/>
      <c r="AP28" s="68"/>
    </row>
    <row r="29" spans="2:42" s="70" customFormat="1" ht="21" customHeight="1">
      <c r="B29" s="82" t="s">
        <v>84</v>
      </c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</row>
    <row r="30" spans="2:42" s="70" customFormat="1" ht="21" customHeight="1">
      <c r="B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 t="s">
        <v>85</v>
      </c>
      <c r="Q30" s="83"/>
      <c r="R30" s="83"/>
      <c r="S30" s="83"/>
      <c r="T30" s="83"/>
      <c r="U30" s="83"/>
      <c r="V30" s="85"/>
      <c r="W30" s="85"/>
      <c r="X30" s="85"/>
      <c r="Y30" s="85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</row>
    <row r="31" ht="18" customHeight="1">
      <c r="B31" s="86"/>
    </row>
    <row r="32" ht="25.5" customHeight="1">
      <c r="C32" s="86"/>
    </row>
  </sheetData>
  <sheetProtection/>
  <mergeCells count="115">
    <mergeCell ref="B2:AO3"/>
    <mergeCell ref="E11:O11"/>
    <mergeCell ref="P11:U11"/>
    <mergeCell ref="V11:W11"/>
    <mergeCell ref="Y11:AI11"/>
    <mergeCell ref="AJ17:AO17"/>
    <mergeCell ref="P12:U12"/>
    <mergeCell ref="P13:U13"/>
    <mergeCell ref="P17:U17"/>
    <mergeCell ref="P14:U14"/>
    <mergeCell ref="AJ13:AO13"/>
    <mergeCell ref="AJ14:AO14"/>
    <mergeCell ref="AJ15:AO15"/>
    <mergeCell ref="AJ16:AO16"/>
    <mergeCell ref="AJ21:AO21"/>
    <mergeCell ref="AJ22:AO22"/>
    <mergeCell ref="AJ23:AO23"/>
    <mergeCell ref="AJ24:AO24"/>
    <mergeCell ref="AJ12:AO12"/>
    <mergeCell ref="Y15:AB15"/>
    <mergeCell ref="AF15:AI15"/>
    <mergeCell ref="Y17:AB17"/>
    <mergeCell ref="AF23:AI23"/>
    <mergeCell ref="AJ20:AO20"/>
    <mergeCell ref="AF21:AI21"/>
    <mergeCell ref="Y22:AB22"/>
    <mergeCell ref="AJ11:AO11"/>
    <mergeCell ref="E16:H16"/>
    <mergeCell ref="L16:O16"/>
    <mergeCell ref="V16:W16"/>
    <mergeCell ref="Y16:AB16"/>
    <mergeCell ref="AF16:AI16"/>
    <mergeCell ref="AF14:AI14"/>
    <mergeCell ref="P15:U15"/>
    <mergeCell ref="P16:U16"/>
    <mergeCell ref="V15:W15"/>
    <mergeCell ref="B25:B28"/>
    <mergeCell ref="C25:C28"/>
    <mergeCell ref="D25:AO25"/>
    <mergeCell ref="AF28:AI28"/>
    <mergeCell ref="V28:W28"/>
    <mergeCell ref="Y28:AB28"/>
    <mergeCell ref="E28:H28"/>
    <mergeCell ref="L28:O28"/>
    <mergeCell ref="E27:H27"/>
    <mergeCell ref="L27:O27"/>
    <mergeCell ref="B18:B24"/>
    <mergeCell ref="C18:C24"/>
    <mergeCell ref="Y19:AO19"/>
    <mergeCell ref="AJ28:AO28"/>
    <mergeCell ref="E20:H20"/>
    <mergeCell ref="E24:H24"/>
    <mergeCell ref="L24:O24"/>
    <mergeCell ref="Y26:AO26"/>
    <mergeCell ref="V27:W27"/>
    <mergeCell ref="V23:W23"/>
    <mergeCell ref="E12:H12"/>
    <mergeCell ref="Y13:AB13"/>
    <mergeCell ref="AF13:AI13"/>
    <mergeCell ref="V14:W14"/>
    <mergeCell ref="L12:O12"/>
    <mergeCell ref="AF27:AI27"/>
    <mergeCell ref="V26:W26"/>
    <mergeCell ref="Y27:AB27"/>
    <mergeCell ref="P24:U24"/>
    <mergeCell ref="P20:U20"/>
    <mergeCell ref="B9:B17"/>
    <mergeCell ref="C9:C17"/>
    <mergeCell ref="D9:AO9"/>
    <mergeCell ref="E17:H17"/>
    <mergeCell ref="L17:O17"/>
    <mergeCell ref="AF24:AI24"/>
    <mergeCell ref="Y24:AB24"/>
    <mergeCell ref="V24:W24"/>
    <mergeCell ref="AF17:AI17"/>
    <mergeCell ref="V12:W12"/>
    <mergeCell ref="E10:U10"/>
    <mergeCell ref="Y10:AO10"/>
    <mergeCell ref="E13:H13"/>
    <mergeCell ref="E14:H14"/>
    <mergeCell ref="L14:O14"/>
    <mergeCell ref="Y12:AB12"/>
    <mergeCell ref="V10:W10"/>
    <mergeCell ref="V13:W13"/>
    <mergeCell ref="AF12:AI12"/>
    <mergeCell ref="L13:O13"/>
    <mergeCell ref="L15:O15"/>
    <mergeCell ref="Y14:AB14"/>
    <mergeCell ref="V21:W21"/>
    <mergeCell ref="V17:W17"/>
    <mergeCell ref="Y23:AB23"/>
    <mergeCell ref="P28:U28"/>
    <mergeCell ref="Y20:AB20"/>
    <mergeCell ref="Y21:AB21"/>
    <mergeCell ref="D18:AO18"/>
    <mergeCell ref="AJ27:AO27"/>
    <mergeCell ref="P27:U27"/>
    <mergeCell ref="P23:U23"/>
    <mergeCell ref="L23:O23"/>
    <mergeCell ref="E15:H15"/>
    <mergeCell ref="L20:O20"/>
    <mergeCell ref="L22:O22"/>
    <mergeCell ref="P21:U21"/>
    <mergeCell ref="P22:U22"/>
    <mergeCell ref="E21:H21"/>
    <mergeCell ref="E23:H23"/>
    <mergeCell ref="AF20:AI20"/>
    <mergeCell ref="AF22:AI22"/>
    <mergeCell ref="E22:H22"/>
    <mergeCell ref="E19:U19"/>
    <mergeCell ref="V19:W19"/>
    <mergeCell ref="E26:U26"/>
    <mergeCell ref="L21:O21"/>
    <mergeCell ref="V22:W22"/>
    <mergeCell ref="V20:W20"/>
  </mergeCells>
  <printOptions horizontalCentered="1"/>
  <pageMargins left="0.2755905511811024" right="0.1968503937007874" top="0.1968503937007874" bottom="0.2362204724409449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近畿郵政局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柿本政次</dc:creator>
  <cp:keywords/>
  <dc:description/>
  <cp:lastModifiedBy>川淵敦司</cp:lastModifiedBy>
  <cp:lastPrinted>2017-01-13T12:54:57Z</cp:lastPrinted>
  <dcterms:created xsi:type="dcterms:W3CDTF">2002-10-21T07:31:59Z</dcterms:created>
  <dcterms:modified xsi:type="dcterms:W3CDTF">2017-01-29T14:08:19Z</dcterms:modified>
  <cp:category/>
  <cp:version/>
  <cp:contentType/>
  <cp:contentStatus/>
</cp:coreProperties>
</file>